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TAMARA\Backup para Ariane\SETRAN\PORTAL DA TRANSPARÊNCIA\2023\"/>
    </mc:Choice>
  </mc:AlternateContent>
  <bookViews>
    <workbookView xWindow="120" yWindow="45" windowWidth="23895" windowHeight="9975" firstSheet="10" activeTab="10"/>
  </bookViews>
  <sheets>
    <sheet name="2013" sheetId="1" state="hidden" r:id="rId1"/>
    <sheet name="2014" sheetId="2" state="hidden" r:id="rId2"/>
    <sheet name="2015" sheetId="3" state="hidden" r:id="rId3"/>
    <sheet name="2016" sheetId="4" state="hidden" r:id="rId4"/>
    <sheet name="2017" sheetId="5" state="hidden" r:id="rId5"/>
    <sheet name="2018" sheetId="6" state="hidden" r:id="rId6"/>
    <sheet name="2019" sheetId="7" state="hidden" r:id="rId7"/>
    <sheet name="2020" sheetId="8" state="hidden" r:id="rId8"/>
    <sheet name="2021" sheetId="9" state="hidden" r:id="rId9"/>
    <sheet name="2022" sheetId="10" state="hidden" r:id="rId10"/>
    <sheet name="2023" sheetId="11" r:id="rId11"/>
  </sheets>
  <definedNames>
    <definedName name="_xlnm.Print_Area" localSheetId="0">'2013'!$A$1:$H$76</definedName>
  </definedNames>
  <calcPr calcId="162913"/>
</workbook>
</file>

<file path=xl/calcChain.xml><?xml version="1.0" encoding="utf-8"?>
<calcChain xmlns="http://schemas.openxmlformats.org/spreadsheetml/2006/main">
  <c r="F283" i="11" l="1"/>
  <c r="E283" i="11"/>
  <c r="G282" i="11"/>
  <c r="E278" i="11"/>
  <c r="E284" i="11" s="1"/>
  <c r="G277" i="11"/>
  <c r="F277" i="11"/>
  <c r="F276" i="11"/>
  <c r="G276" i="11" s="1"/>
  <c r="G275" i="11"/>
  <c r="F275" i="11"/>
  <c r="G274" i="11"/>
  <c r="G273" i="11"/>
  <c r="G272" i="11"/>
  <c r="F271" i="11"/>
  <c r="G271" i="11" s="1"/>
  <c r="F270" i="11"/>
  <c r="G270" i="11" s="1"/>
  <c r="F266" i="11"/>
  <c r="G265" i="11"/>
  <c r="G266" i="11" s="1"/>
  <c r="F258" i="11"/>
  <c r="E258" i="11"/>
  <c r="G257" i="11"/>
  <c r="E253" i="11"/>
  <c r="E259" i="11" s="1"/>
  <c r="G252" i="11"/>
  <c r="G251" i="11"/>
  <c r="G250" i="11"/>
  <c r="F249" i="11"/>
  <c r="G249" i="11" s="1"/>
  <c r="G248" i="11"/>
  <c r="F247" i="11"/>
  <c r="G247" i="11" s="1"/>
  <c r="F243" i="11"/>
  <c r="G242" i="11"/>
  <c r="G243" i="11" s="1"/>
  <c r="F235" i="11"/>
  <c r="E235" i="11"/>
  <c r="G234" i="11"/>
  <c r="F232" i="11"/>
  <c r="G231" i="11"/>
  <c r="G230" i="11"/>
  <c r="F228" i="11"/>
  <c r="E228" i="11"/>
  <c r="F227" i="11"/>
  <c r="G227" i="11" s="1"/>
  <c r="G226" i="11"/>
  <c r="G225" i="11"/>
  <c r="G224" i="11"/>
  <c r="F224" i="11"/>
  <c r="F223" i="11"/>
  <c r="G223" i="11" s="1"/>
  <c r="G222" i="11"/>
  <c r="F222" i="11"/>
  <c r="F219" i="11"/>
  <c r="F220" i="11" s="1"/>
  <c r="F217" i="11"/>
  <c r="G216" i="11"/>
  <c r="G215" i="11"/>
  <c r="G214" i="11"/>
  <c r="E207" i="11"/>
  <c r="F206" i="11"/>
  <c r="F207" i="11" s="1"/>
  <c r="E202" i="11"/>
  <c r="F201" i="11"/>
  <c r="G201" i="11" s="1"/>
  <c r="G200" i="11"/>
  <c r="G199" i="11"/>
  <c r="G198" i="11"/>
  <c r="F197" i="11"/>
  <c r="G197" i="11" s="1"/>
  <c r="F196" i="11"/>
  <c r="G196" i="11" s="1"/>
  <c r="F195" i="11"/>
  <c r="G195" i="11" s="1"/>
  <c r="F193" i="11"/>
  <c r="E193" i="11"/>
  <c r="G192" i="11"/>
  <c r="F192" i="11"/>
  <c r="F190" i="11"/>
  <c r="G190" i="11" s="1"/>
  <c r="F168" i="11"/>
  <c r="F169" i="11" s="1"/>
  <c r="F167" i="11"/>
  <c r="F183" i="11"/>
  <c r="E183" i="11"/>
  <c r="G182" i="11"/>
  <c r="F178" i="11"/>
  <c r="E178" i="11"/>
  <c r="G177" i="11"/>
  <c r="G176" i="11"/>
  <c r="G175" i="11"/>
  <c r="G174" i="11"/>
  <c r="G173" i="11"/>
  <c r="G172" i="11"/>
  <c r="F172" i="11"/>
  <c r="G171" i="11"/>
  <c r="F171" i="11"/>
  <c r="E169" i="11"/>
  <c r="G167" i="11"/>
  <c r="F165" i="11"/>
  <c r="G164" i="11"/>
  <c r="G165" i="11" s="1"/>
  <c r="F157" i="11"/>
  <c r="E157" i="11"/>
  <c r="G156" i="11"/>
  <c r="E152" i="11"/>
  <c r="G151" i="11"/>
  <c r="F151" i="11"/>
  <c r="F150" i="11"/>
  <c r="G150" i="11" s="1"/>
  <c r="F149" i="11"/>
  <c r="G149" i="11" s="1"/>
  <c r="F148" i="11"/>
  <c r="G148" i="11" s="1"/>
  <c r="G147" i="11"/>
  <c r="G146" i="11"/>
  <c r="F146" i="11"/>
  <c r="F152" i="11" s="1"/>
  <c r="F144" i="11"/>
  <c r="E144" i="11"/>
  <c r="G143" i="11"/>
  <c r="F134" i="11"/>
  <c r="E134" i="11"/>
  <c r="G133" i="11"/>
  <c r="E129" i="11"/>
  <c r="G128" i="11"/>
  <c r="G127" i="11"/>
  <c r="G126" i="11"/>
  <c r="G125" i="11"/>
  <c r="G124" i="11"/>
  <c r="G123" i="11"/>
  <c r="F123" i="11"/>
  <c r="F122" i="11"/>
  <c r="G122" i="11" s="1"/>
  <c r="F111" i="11"/>
  <c r="E111" i="11"/>
  <c r="G110" i="11"/>
  <c r="F106" i="11"/>
  <c r="E106" i="11"/>
  <c r="E112" i="11" s="1"/>
  <c r="G105" i="11"/>
  <c r="G104" i="11"/>
  <c r="G103" i="11"/>
  <c r="G102" i="11"/>
  <c r="F101" i="11"/>
  <c r="G101" i="11" s="1"/>
  <c r="G100" i="11"/>
  <c r="F100" i="11"/>
  <c r="F89" i="11"/>
  <c r="E89" i="11"/>
  <c r="G88" i="11"/>
  <c r="F84" i="11"/>
  <c r="E84" i="11"/>
  <c r="G83" i="11"/>
  <c r="F82" i="11"/>
  <c r="G82" i="11" s="1"/>
  <c r="G81" i="11"/>
  <c r="G80" i="11"/>
  <c r="G79" i="11"/>
  <c r="F78" i="11"/>
  <c r="G78" i="11" s="1"/>
  <c r="G77" i="11"/>
  <c r="F77" i="11"/>
  <c r="F35" i="11"/>
  <c r="G35" i="11"/>
  <c r="G36" i="11"/>
  <c r="G37" i="11"/>
  <c r="E38" i="11"/>
  <c r="F38" i="11"/>
  <c r="G42" i="11"/>
  <c r="E43" i="11"/>
  <c r="F43" i="11"/>
  <c r="G89" i="11" l="1"/>
  <c r="G43" i="11"/>
  <c r="G183" i="11"/>
  <c r="G134" i="11"/>
  <c r="G157" i="11"/>
  <c r="E135" i="11"/>
  <c r="G38" i="11"/>
  <c r="G44" i="11" s="1"/>
  <c r="F90" i="11"/>
  <c r="G283" i="11"/>
  <c r="G258" i="11"/>
  <c r="F112" i="11"/>
  <c r="E208" i="11"/>
  <c r="E44" i="11"/>
  <c r="G202" i="11"/>
  <c r="G253" i="11"/>
  <c r="E90" i="11"/>
  <c r="G217" i="11"/>
  <c r="G278" i="11"/>
  <c r="F278" i="11"/>
  <c r="F284" i="11" s="1"/>
  <c r="F236" i="11"/>
  <c r="G232" i="11"/>
  <c r="E236" i="11"/>
  <c r="G235" i="11"/>
  <c r="F253" i="11"/>
  <c r="F259" i="11" s="1"/>
  <c r="G228" i="11"/>
  <c r="G219" i="11"/>
  <c r="G220" i="11" s="1"/>
  <c r="G178" i="11"/>
  <c r="E184" i="11"/>
  <c r="G207" i="11"/>
  <c r="F202" i="11"/>
  <c r="F208" i="11" s="1"/>
  <c r="G193" i="11"/>
  <c r="G206" i="11"/>
  <c r="G168" i="11"/>
  <c r="G169" i="11" s="1"/>
  <c r="F184" i="11"/>
  <c r="E158" i="11"/>
  <c r="G152" i="11"/>
  <c r="G129" i="11"/>
  <c r="G135" i="11" s="1"/>
  <c r="F158" i="11"/>
  <c r="G144" i="11"/>
  <c r="G111" i="11"/>
  <c r="G106" i="11"/>
  <c r="F129" i="11"/>
  <c r="F135" i="11" s="1"/>
  <c r="F44" i="11"/>
  <c r="G84" i="11"/>
  <c r="G90" i="11" s="1"/>
  <c r="E59" i="11"/>
  <c r="E61" i="11" s="1"/>
  <c r="G58" i="11"/>
  <c r="E14" i="11"/>
  <c r="G14" i="11" s="1"/>
  <c r="E18" i="11"/>
  <c r="G18" i="11" s="1"/>
  <c r="E17" i="11"/>
  <c r="G17" i="11" s="1"/>
  <c r="E16" i="11"/>
  <c r="G16" i="11" s="1"/>
  <c r="E15" i="11"/>
  <c r="G15" i="11"/>
  <c r="E13" i="11"/>
  <c r="G13" i="11" s="1"/>
  <c r="E12" i="11"/>
  <c r="E19" i="11" s="1"/>
  <c r="G158" i="11" l="1"/>
  <c r="G259" i="11"/>
  <c r="G284" i="11"/>
  <c r="G112" i="11"/>
  <c r="G208" i="11"/>
  <c r="G236" i="11"/>
  <c r="G184" i="11"/>
  <c r="F12" i="11"/>
  <c r="F19" i="11" s="1"/>
  <c r="F65" i="11"/>
  <c r="F66" i="11" s="1"/>
  <c r="F54" i="11"/>
  <c r="F56" i="11"/>
  <c r="F57" i="11"/>
  <c r="G57" i="11" s="1"/>
  <c r="G56" i="11"/>
  <c r="F60" i="11"/>
  <c r="G60" i="11" s="1"/>
  <c r="F59" i="11"/>
  <c r="G59" i="11" s="1"/>
  <c r="F55" i="11"/>
  <c r="G55" i="11" s="1"/>
  <c r="E66" i="11"/>
  <c r="E67" i="11" s="1"/>
  <c r="F24" i="11"/>
  <c r="E24" i="11"/>
  <c r="G23" i="11"/>
  <c r="F287" i="10"/>
  <c r="F260" i="10"/>
  <c r="F61" i="11" l="1"/>
  <c r="G65" i="11"/>
  <c r="G66" i="11"/>
  <c r="F67" i="11"/>
  <c r="G54" i="11"/>
  <c r="G61" i="11" s="1"/>
  <c r="F25" i="11"/>
  <c r="G12" i="11"/>
  <c r="G19" i="11" s="1"/>
  <c r="G24" i="11"/>
  <c r="E25" i="11"/>
  <c r="G25" i="11" l="1"/>
  <c r="G67" i="11"/>
  <c r="G300" i="10" l="1"/>
  <c r="F290" i="10"/>
  <c r="G290" i="10" s="1"/>
  <c r="F295" i="10"/>
  <c r="F261" i="10"/>
  <c r="E296" i="10"/>
  <c r="E301" i="10" s="1"/>
  <c r="G295" i="10"/>
  <c r="G294" i="10"/>
  <c r="G293" i="10"/>
  <c r="G292" i="10"/>
  <c r="G291" i="10"/>
  <c r="G289" i="10"/>
  <c r="G288" i="10"/>
  <c r="F296" i="10" l="1"/>
  <c r="F301" i="10" s="1"/>
  <c r="G287" i="10"/>
  <c r="G296" i="10" s="1"/>
  <c r="G301" i="10" l="1"/>
  <c r="F264" i="10" l="1"/>
  <c r="G264" i="10" s="1"/>
  <c r="F271" i="10"/>
  <c r="F269" i="10"/>
  <c r="G269" i="10" s="1"/>
  <c r="F266" i="10"/>
  <c r="G266" i="10" s="1"/>
  <c r="F263" i="10"/>
  <c r="G263" i="10" s="1"/>
  <c r="F268" i="10"/>
  <c r="G268" i="10" s="1"/>
  <c r="F238" i="10"/>
  <c r="G238" i="10"/>
  <c r="E272" i="10"/>
  <c r="E277" i="10" s="1"/>
  <c r="G271" i="10"/>
  <c r="G270" i="10"/>
  <c r="G267" i="10"/>
  <c r="G265" i="10"/>
  <c r="G272" i="10" l="1"/>
  <c r="G260" i="10"/>
  <c r="G261" i="10" s="1"/>
  <c r="F272" i="10"/>
  <c r="F277" i="10" s="1"/>
  <c r="G235" i="10"/>
  <c r="F234" i="10"/>
  <c r="F245" i="10"/>
  <c r="G245" i="10" s="1"/>
  <c r="F243" i="10"/>
  <c r="F242" i="10"/>
  <c r="F246" i="10"/>
  <c r="G246" i="10"/>
  <c r="F240" i="10"/>
  <c r="F247" i="10" s="1"/>
  <c r="E247" i="10"/>
  <c r="F244" i="10"/>
  <c r="G277" i="10" l="1"/>
  <c r="E252" i="10"/>
  <c r="G244" i="10"/>
  <c r="G243" i="10"/>
  <c r="G242" i="10"/>
  <c r="G241" i="10"/>
  <c r="G240" i="10"/>
  <c r="G234" i="10"/>
  <c r="G236" i="10" s="1"/>
  <c r="F236" i="10" l="1"/>
  <c r="F252" i="10" s="1"/>
  <c r="G239" i="10"/>
  <c r="G247" i="10" s="1"/>
  <c r="G252" i="10" s="1"/>
  <c r="F211" i="10"/>
  <c r="G211" i="10" s="1"/>
  <c r="F210" i="10"/>
  <c r="G210" i="10" s="1"/>
  <c r="F214" i="10"/>
  <c r="F217" i="10"/>
  <c r="G217" i="10" s="1"/>
  <c r="F215" i="10"/>
  <c r="F218" i="10"/>
  <c r="G218" i="10" s="1"/>
  <c r="F219" i="10"/>
  <c r="G219" i="10" s="1"/>
  <c r="F216" i="10"/>
  <c r="G216" i="10" s="1"/>
  <c r="E221" i="10"/>
  <c r="E226" i="10" s="1"/>
  <c r="F220" i="10"/>
  <c r="G220" i="10" s="1"/>
  <c r="F221" i="10" l="1"/>
  <c r="G215" i="10"/>
  <c r="G212" i="10"/>
  <c r="G214" i="10"/>
  <c r="F212" i="10"/>
  <c r="F226" i="10" s="1"/>
  <c r="F189" i="10"/>
  <c r="G189" i="10" s="1"/>
  <c r="F186" i="10"/>
  <c r="F185" i="10"/>
  <c r="G185" i="10" s="1"/>
  <c r="F190" i="10"/>
  <c r="G190" i="10" s="1"/>
  <c r="F194" i="10"/>
  <c r="G194" i="10" s="1"/>
  <c r="F196" i="10"/>
  <c r="G196" i="10" s="1"/>
  <c r="E197" i="10"/>
  <c r="E202" i="10" s="1"/>
  <c r="F192" i="10"/>
  <c r="G192" i="10" s="1"/>
  <c r="F191" i="10"/>
  <c r="F193" i="10"/>
  <c r="G193" i="10" s="1"/>
  <c r="F195" i="10"/>
  <c r="G195" i="10" s="1"/>
  <c r="F187" i="10" l="1"/>
  <c r="G221" i="10"/>
  <c r="G226" i="10" s="1"/>
  <c r="G186" i="10"/>
  <c r="G187" i="10" s="1"/>
  <c r="F197" i="10"/>
  <c r="G191" i="10"/>
  <c r="E341" i="9"/>
  <c r="D341" i="9"/>
  <c r="F341" i="9" s="1"/>
  <c r="E340" i="9"/>
  <c r="D340" i="9"/>
  <c r="F340" i="9" s="1"/>
  <c r="E335" i="9"/>
  <c r="F335" i="9" s="1"/>
  <c r="E334" i="9"/>
  <c r="D334" i="9"/>
  <c r="F334" i="9" s="1"/>
  <c r="F333" i="9"/>
  <c r="E333" i="9"/>
  <c r="E332" i="9"/>
  <c r="F332" i="9" s="1"/>
  <c r="F331" i="9"/>
  <c r="E331" i="9"/>
  <c r="E330" i="9"/>
  <c r="F330" i="9" s="1"/>
  <c r="F329" i="9"/>
  <c r="E328" i="9"/>
  <c r="F328" i="9" s="1"/>
  <c r="E327" i="9"/>
  <c r="F327" i="9" s="1"/>
  <c r="E326" i="9"/>
  <c r="F326" i="9" s="1"/>
  <c r="E325" i="9"/>
  <c r="F325" i="9" s="1"/>
  <c r="E324" i="9"/>
  <c r="F324" i="9" s="1"/>
  <c r="E323" i="9"/>
  <c r="F323" i="9" s="1"/>
  <c r="D323" i="9"/>
  <c r="E322" i="9"/>
  <c r="F322" i="9" s="1"/>
  <c r="F321" i="9"/>
  <c r="E321" i="9"/>
  <c r="E320" i="9"/>
  <c r="E336" i="9" s="1"/>
  <c r="D318" i="9"/>
  <c r="F317" i="9"/>
  <c r="F316" i="9"/>
  <c r="F318" i="9" s="1"/>
  <c r="E316" i="9"/>
  <c r="E318" i="9" s="1"/>
  <c r="F315" i="9"/>
  <c r="F312" i="9"/>
  <c r="D311" i="9"/>
  <c r="D313" i="9" s="1"/>
  <c r="E310" i="9"/>
  <c r="F310" i="9" s="1"/>
  <c r="E309" i="9"/>
  <c r="F309" i="9" s="1"/>
  <c r="E308" i="9"/>
  <c r="F308" i="9" s="1"/>
  <c r="F307" i="9"/>
  <c r="F306" i="9"/>
  <c r="F202" i="10" l="1"/>
  <c r="G197" i="10"/>
  <c r="G202" i="10" s="1"/>
  <c r="F313" i="9"/>
  <c r="F342" i="9" s="1"/>
  <c r="E313" i="9"/>
  <c r="E342" i="9" s="1"/>
  <c r="F311" i="9"/>
  <c r="F320" i="9"/>
  <c r="F336" i="9" s="1"/>
  <c r="D336" i="9"/>
  <c r="D342" i="9" s="1"/>
  <c r="F160" i="10"/>
  <c r="G159" i="10"/>
  <c r="G160" i="10" s="1"/>
  <c r="F162" i="10"/>
  <c r="F166" i="10"/>
  <c r="G166" i="10" s="1"/>
  <c r="F163" i="10"/>
  <c r="G163" i="10" s="1"/>
  <c r="F171" i="10"/>
  <c r="G171" i="10" s="1"/>
  <c r="F170" i="10"/>
  <c r="G170" i="10" s="1"/>
  <c r="F169" i="10"/>
  <c r="F164" i="10"/>
  <c r="G164" i="10" s="1"/>
  <c r="F167" i="10"/>
  <c r="G167" i="10" s="1"/>
  <c r="F168" i="10"/>
  <c r="G165" i="10"/>
  <c r="E172" i="10"/>
  <c r="E177" i="10" s="1"/>
  <c r="G169" i="10"/>
  <c r="G168" i="10"/>
  <c r="F138" i="10"/>
  <c r="F141" i="10"/>
  <c r="G141" i="10" s="1"/>
  <c r="F142" i="10"/>
  <c r="G142" i="10" s="1"/>
  <c r="F145" i="10"/>
  <c r="G145" i="10" s="1"/>
  <c r="E146" i="10"/>
  <c r="E151" i="10" s="1"/>
  <c r="F143" i="10"/>
  <c r="G143" i="10" s="1"/>
  <c r="F144" i="10"/>
  <c r="G144" i="10" s="1"/>
  <c r="F139" i="10"/>
  <c r="F140" i="10"/>
  <c r="G140" i="10" s="1"/>
  <c r="F172" i="10" l="1"/>
  <c r="F177" i="10" s="1"/>
  <c r="G162" i="10"/>
  <c r="F146" i="10"/>
  <c r="F151" i="10" s="1"/>
  <c r="G139" i="10"/>
  <c r="G138" i="10"/>
  <c r="G119" i="10"/>
  <c r="G121" i="10"/>
  <c r="F115" i="10"/>
  <c r="G115" i="10" s="1"/>
  <c r="F122" i="10"/>
  <c r="G122" i="10" s="1"/>
  <c r="E123" i="10"/>
  <c r="E128" i="10" s="1"/>
  <c r="F120" i="10"/>
  <c r="G120" i="10" s="1"/>
  <c r="F116" i="10"/>
  <c r="G116" i="10" s="1"/>
  <c r="F118" i="10"/>
  <c r="G118" i="10" s="1"/>
  <c r="G117" i="10"/>
  <c r="G146" i="10" l="1"/>
  <c r="G151" i="10" s="1"/>
  <c r="G172" i="10"/>
  <c r="G177" i="10" s="1"/>
  <c r="G123" i="10"/>
  <c r="G128" i="10" s="1"/>
  <c r="F123" i="10"/>
  <c r="F128" i="10" s="1"/>
  <c r="F93" i="10"/>
  <c r="G93" i="10" s="1"/>
  <c r="E100" i="10"/>
  <c r="F96" i="10"/>
  <c r="G96" i="10" s="1"/>
  <c r="F95" i="10"/>
  <c r="G95" i="10" s="1"/>
  <c r="F94" i="10"/>
  <c r="G94" i="10" s="1"/>
  <c r="F99" i="10"/>
  <c r="G99" i="10" s="1"/>
  <c r="F97" i="10"/>
  <c r="G97" i="10" s="1"/>
  <c r="G98" i="10"/>
  <c r="E69" i="10"/>
  <c r="G69" i="10" s="1"/>
  <c r="E71" i="10"/>
  <c r="E77" i="10"/>
  <c r="G77" i="10" s="1"/>
  <c r="E72" i="10"/>
  <c r="G72" i="10" s="1"/>
  <c r="E73" i="10"/>
  <c r="F67" i="10"/>
  <c r="G67" i="10" s="1"/>
  <c r="F73" i="10"/>
  <c r="F70" i="10"/>
  <c r="G70" i="10" s="1"/>
  <c r="F74" i="10"/>
  <c r="G74" i="10" s="1"/>
  <c r="F68" i="10"/>
  <c r="G68" i="10" s="1"/>
  <c r="F76" i="10"/>
  <c r="G76" i="10" s="1"/>
  <c r="F75" i="10"/>
  <c r="G75" i="10" s="1"/>
  <c r="E47" i="10"/>
  <c r="G47" i="10" s="1"/>
  <c r="E50" i="10"/>
  <c r="G50" i="10" s="1"/>
  <c r="E44" i="10"/>
  <c r="G44" i="10" s="1"/>
  <c r="E45" i="10"/>
  <c r="G45" i="10" s="1"/>
  <c r="E49" i="10"/>
  <c r="G49" i="10" s="1"/>
  <c r="E42" i="10"/>
  <c r="G42" i="10" s="1"/>
  <c r="E35" i="10"/>
  <c r="E36" i="10" s="1"/>
  <c r="E48" i="10"/>
  <c r="G48" i="10" s="1"/>
  <c r="E46" i="10"/>
  <c r="G46" i="10" s="1"/>
  <c r="F41" i="10"/>
  <c r="F51" i="10" s="1"/>
  <c r="F56" i="10"/>
  <c r="E56" i="10"/>
  <c r="G55" i="10"/>
  <c r="G43" i="10"/>
  <c r="F39" i="10"/>
  <c r="G38" i="10"/>
  <c r="G39" i="10" s="1"/>
  <c r="E39" i="10"/>
  <c r="F36" i="10"/>
  <c r="G35" i="10"/>
  <c r="G22" i="10"/>
  <c r="E21" i="10"/>
  <c r="G21" i="10" s="1"/>
  <c r="G20" i="10"/>
  <c r="G19" i="10"/>
  <c r="E13" i="10"/>
  <c r="G13" i="10" s="1"/>
  <c r="G14" i="10" s="1"/>
  <c r="F11" i="10"/>
  <c r="E11" i="10"/>
  <c r="G10" i="10"/>
  <c r="G17" i="10"/>
  <c r="E18" i="10"/>
  <c r="E16" i="10"/>
  <c r="G9" i="10"/>
  <c r="G11" i="10" s="1"/>
  <c r="F16" i="10"/>
  <c r="F23" i="10" s="1"/>
  <c r="F28" i="10"/>
  <c r="E28" i="10"/>
  <c r="G27" i="10"/>
  <c r="F14" i="10"/>
  <c r="E282" i="9"/>
  <c r="E289" i="9"/>
  <c r="E291" i="9"/>
  <c r="E290" i="9"/>
  <c r="E293" i="9"/>
  <c r="F293" i="9" s="1"/>
  <c r="D294" i="9"/>
  <c r="E285" i="9"/>
  <c r="F279" i="9"/>
  <c r="F278" i="9"/>
  <c r="E279" i="9"/>
  <c r="E280" i="9" s="1"/>
  <c r="E274" i="9"/>
  <c r="F274" i="9" s="1"/>
  <c r="E288" i="9"/>
  <c r="F288" i="9" s="1"/>
  <c r="E284" i="9"/>
  <c r="F284" i="9" s="1"/>
  <c r="E292" i="9"/>
  <c r="F292" i="9" s="1"/>
  <c r="E286" i="9"/>
  <c r="E287" i="9"/>
  <c r="F287" i="9" s="1"/>
  <c r="E299" i="9"/>
  <c r="D299" i="9"/>
  <c r="F298" i="9"/>
  <c r="F291" i="9"/>
  <c r="F290" i="9"/>
  <c r="F289" i="9"/>
  <c r="F286" i="9"/>
  <c r="F283" i="9"/>
  <c r="D276" i="9"/>
  <c r="D300" i="9" s="1"/>
  <c r="F275" i="9"/>
  <c r="F273" i="9"/>
  <c r="E260" i="9"/>
  <c r="E259" i="9"/>
  <c r="F259" i="9"/>
  <c r="E251" i="9"/>
  <c r="E254" i="9"/>
  <c r="E258" i="9"/>
  <c r="F258" i="9" s="1"/>
  <c r="E246" i="9"/>
  <c r="F246" i="9" s="1"/>
  <c r="E245" i="9"/>
  <c r="F245" i="9" s="1"/>
  <c r="E265" i="9"/>
  <c r="F265" i="9" s="1"/>
  <c r="E257" i="9"/>
  <c r="F257" i="9" s="1"/>
  <c r="E252" i="9"/>
  <c r="F252" i="9" s="1"/>
  <c r="E253" i="9"/>
  <c r="F253" i="9" s="1"/>
  <c r="E256" i="9"/>
  <c r="E255" i="9"/>
  <c r="F255" i="9" s="1"/>
  <c r="E244" i="9"/>
  <c r="D261" i="9"/>
  <c r="F260" i="9"/>
  <c r="F254" i="9"/>
  <c r="F256" i="9"/>
  <c r="D266" i="9"/>
  <c r="D247" i="9"/>
  <c r="F244" i="9"/>
  <c r="E247" i="9" l="1"/>
  <c r="F299" i="9"/>
  <c r="F280" i="9"/>
  <c r="E276" i="9"/>
  <c r="F276" i="9" s="1"/>
  <c r="F100" i="10"/>
  <c r="F105" i="10" s="1"/>
  <c r="G100" i="10"/>
  <c r="E105" i="10"/>
  <c r="E78" i="10"/>
  <c r="F78" i="10"/>
  <c r="F83" i="10" s="1"/>
  <c r="G71" i="10"/>
  <c r="G73" i="10"/>
  <c r="E83" i="10"/>
  <c r="G28" i="10"/>
  <c r="E23" i="10"/>
  <c r="E14" i="10"/>
  <c r="E51" i="10"/>
  <c r="E57" i="10" s="1"/>
  <c r="G56" i="10"/>
  <c r="F57" i="10"/>
  <c r="G36" i="10"/>
  <c r="G41" i="10"/>
  <c r="G51" i="10" s="1"/>
  <c r="G18" i="10"/>
  <c r="G16" i="10"/>
  <c r="F29" i="10"/>
  <c r="E294" i="9"/>
  <c r="E300" i="9" s="1"/>
  <c r="F285" i="9"/>
  <c r="F282" i="9"/>
  <c r="E266" i="9"/>
  <c r="E261" i="9"/>
  <c r="E267" i="9" s="1"/>
  <c r="F251" i="9"/>
  <c r="F261" i="9" s="1"/>
  <c r="D267" i="9"/>
  <c r="F266" i="9"/>
  <c r="F247" i="9"/>
  <c r="E230" i="9"/>
  <c r="F230" i="9"/>
  <c r="E231" i="9"/>
  <c r="F231" i="9" s="1"/>
  <c r="E220" i="9"/>
  <c r="D220" i="9"/>
  <c r="F219" i="9"/>
  <c r="E224" i="9"/>
  <c r="F224" i="9" s="1"/>
  <c r="E227" i="9"/>
  <c r="E225" i="9"/>
  <c r="F225" i="9" s="1"/>
  <c r="E229" i="9"/>
  <c r="F229" i="9" s="1"/>
  <c r="E228" i="9"/>
  <c r="F228" i="9" s="1"/>
  <c r="E226" i="9"/>
  <c r="E237" i="9"/>
  <c r="D237" i="9"/>
  <c r="F237" i="9" s="1"/>
  <c r="F236" i="9"/>
  <c r="D232" i="9"/>
  <c r="F294" i="9" l="1"/>
  <c r="F300" i="9" s="1"/>
  <c r="G105" i="10"/>
  <c r="G78" i="10"/>
  <c r="G83" i="10" s="1"/>
  <c r="E29" i="10"/>
  <c r="G23" i="10"/>
  <c r="G29" i="10" s="1"/>
  <c r="G57" i="10"/>
  <c r="F267" i="9"/>
  <c r="D238" i="9"/>
  <c r="E232" i="9"/>
  <c r="E238" i="9" s="1"/>
  <c r="F226" i="9"/>
  <c r="F220" i="9"/>
  <c r="F227" i="9"/>
  <c r="F218" i="9"/>
  <c r="E205" i="9"/>
  <c r="F205" i="9" s="1"/>
  <c r="E204" i="9"/>
  <c r="F204" i="9" s="1"/>
  <c r="E193" i="9"/>
  <c r="E194" i="9" s="1"/>
  <c r="F194" i="9" s="1"/>
  <c r="E201" i="9"/>
  <c r="F201" i="9" s="1"/>
  <c r="E211" i="9"/>
  <c r="D211" i="9"/>
  <c r="F210" i="9"/>
  <c r="D206" i="9"/>
  <c r="F203" i="9"/>
  <c r="F202" i="9"/>
  <c r="F200" i="9"/>
  <c r="F199" i="9"/>
  <c r="F198" i="9"/>
  <c r="E178" i="9"/>
  <c r="F178" i="9" s="1"/>
  <c r="E179" i="9"/>
  <c r="F179" i="9" s="1"/>
  <c r="E180" i="9"/>
  <c r="F180" i="9" s="1"/>
  <c r="F185" i="9"/>
  <c r="E172" i="9"/>
  <c r="F172" i="9" s="1"/>
  <c r="E175" i="9"/>
  <c r="F175" i="9" s="1"/>
  <c r="E176" i="9"/>
  <c r="F176" i="9" s="1"/>
  <c r="E186" i="9"/>
  <c r="D186" i="9"/>
  <c r="D181" i="9"/>
  <c r="F177" i="9"/>
  <c r="F174" i="9"/>
  <c r="F173" i="9"/>
  <c r="E168" i="9"/>
  <c r="F167" i="9"/>
  <c r="D212" i="9" l="1"/>
  <c r="E206" i="9"/>
  <c r="E212" i="9" s="1"/>
  <c r="F181" i="9"/>
  <c r="F211" i="9"/>
  <c r="F232" i="9"/>
  <c r="F238" i="9" s="1"/>
  <c r="E181" i="9"/>
  <c r="F193" i="9"/>
  <c r="F206" i="9"/>
  <c r="F212" i="9" s="1"/>
  <c r="F186" i="9"/>
  <c r="D187" i="9"/>
  <c r="E187" i="9"/>
  <c r="F168" i="9"/>
  <c r="E146" i="9"/>
  <c r="E154" i="9"/>
  <c r="F154" i="9" s="1"/>
  <c r="E152" i="9"/>
  <c r="F152" i="9" s="1"/>
  <c r="F153" i="9"/>
  <c r="E160" i="9"/>
  <c r="E150" i="9"/>
  <c r="E151" i="9"/>
  <c r="F151" i="9" s="1"/>
  <c r="E147" i="9"/>
  <c r="F147" i="9" s="1"/>
  <c r="E148" i="9"/>
  <c r="F148" i="9" s="1"/>
  <c r="E149" i="9"/>
  <c r="F149" i="9" s="1"/>
  <c r="E142" i="9"/>
  <c r="F142" i="9" s="1"/>
  <c r="F141" i="9"/>
  <c r="D160" i="9"/>
  <c r="D155" i="9"/>
  <c r="F140" i="9"/>
  <c r="E155" i="9" l="1"/>
  <c r="F187" i="9"/>
  <c r="F160" i="9"/>
  <c r="F159" i="9"/>
  <c r="E161" i="9"/>
  <c r="D161" i="9"/>
  <c r="F150" i="9"/>
  <c r="F146" i="9"/>
  <c r="F115" i="9"/>
  <c r="F126" i="9"/>
  <c r="E127" i="9"/>
  <c r="F127" i="9" s="1"/>
  <c r="E125" i="9"/>
  <c r="F125" i="9" s="1"/>
  <c r="E119" i="9"/>
  <c r="F119" i="9" s="1"/>
  <c r="E123" i="9"/>
  <c r="F123" i="9" s="1"/>
  <c r="E124" i="9"/>
  <c r="F124" i="9" s="1"/>
  <c r="E121" i="9"/>
  <c r="F121" i="9" s="1"/>
  <c r="E122" i="9"/>
  <c r="F122" i="9" s="1"/>
  <c r="F114" i="9"/>
  <c r="E133" i="9"/>
  <c r="D133" i="9"/>
  <c r="F132" i="9"/>
  <c r="D128" i="9"/>
  <c r="F120" i="9"/>
  <c r="E96" i="9"/>
  <c r="E100" i="9"/>
  <c r="F100" i="9" s="1"/>
  <c r="E101" i="9"/>
  <c r="F101" i="9" s="1"/>
  <c r="F95" i="9"/>
  <c r="F96" i="9" s="1"/>
  <c r="E107" i="9"/>
  <c r="D107" i="9"/>
  <c r="F106" i="9"/>
  <c r="D102" i="9"/>
  <c r="F155" i="9" l="1"/>
  <c r="D108" i="9"/>
  <c r="F128" i="9"/>
  <c r="E128" i="9"/>
  <c r="E134" i="9" s="1"/>
  <c r="F161" i="9"/>
  <c r="D134" i="9"/>
  <c r="F133" i="9"/>
  <c r="F102" i="9"/>
  <c r="E102" i="9"/>
  <c r="E108" i="9" s="1"/>
  <c r="F107" i="9"/>
  <c r="E78" i="9"/>
  <c r="F78" i="9" s="1"/>
  <c r="E82" i="9"/>
  <c r="F82" i="9" s="1"/>
  <c r="E81" i="9"/>
  <c r="F81" i="9" s="1"/>
  <c r="E79" i="9"/>
  <c r="E88" i="9"/>
  <c r="D88" i="9"/>
  <c r="F87" i="9"/>
  <c r="D83" i="9"/>
  <c r="F80" i="9"/>
  <c r="F134" i="9" l="1"/>
  <c r="F108" i="9"/>
  <c r="E83" i="9"/>
  <c r="E89" i="9" s="1"/>
  <c r="F88" i="9"/>
  <c r="D89" i="9"/>
  <c r="F79" i="9"/>
  <c r="F83" i="9" s="1"/>
  <c r="E57" i="9"/>
  <c r="F61" i="9"/>
  <c r="D62" i="9"/>
  <c r="E58" i="9"/>
  <c r="F58" i="9" s="1"/>
  <c r="E60" i="9"/>
  <c r="E59" i="9"/>
  <c r="E67" i="9"/>
  <c r="D67" i="9"/>
  <c r="F66" i="9"/>
  <c r="E55" i="9"/>
  <c r="D55" i="9"/>
  <c r="F54" i="9"/>
  <c r="F55" i="9" s="1"/>
  <c r="E52" i="9"/>
  <c r="F51" i="9"/>
  <c r="F52" i="9" s="1"/>
  <c r="D52" i="9"/>
  <c r="F67" i="9" l="1"/>
  <c r="F89" i="9"/>
  <c r="E62" i="9"/>
  <c r="E68" i="9" s="1"/>
  <c r="D68" i="9"/>
  <c r="F60" i="9"/>
  <c r="F57" i="9"/>
  <c r="F59" i="9"/>
  <c r="D33" i="9"/>
  <c r="E38" i="9"/>
  <c r="E37" i="9"/>
  <c r="E36" i="9"/>
  <c r="F36" i="9" s="1"/>
  <c r="E35" i="9"/>
  <c r="F35" i="9" s="1"/>
  <c r="D38" i="9"/>
  <c r="F38" i="9" s="1"/>
  <c r="D37" i="9"/>
  <c r="D39" i="9" s="1"/>
  <c r="D29" i="9"/>
  <c r="D30" i="9" s="1"/>
  <c r="E44" i="9"/>
  <c r="D44" i="9"/>
  <c r="F43" i="9"/>
  <c r="E33" i="9"/>
  <c r="F32" i="9"/>
  <c r="F33" i="9" s="1"/>
  <c r="E30" i="9"/>
  <c r="F29" i="9" l="1"/>
  <c r="F30" i="9" s="1"/>
  <c r="D45" i="9"/>
  <c r="F44" i="9"/>
  <c r="F62" i="9"/>
  <c r="F68" i="9" s="1"/>
  <c r="F37" i="9"/>
  <c r="F39" i="9" s="1"/>
  <c r="E39" i="9"/>
  <c r="E45" i="9" s="1"/>
  <c r="E15" i="9"/>
  <c r="D10" i="9"/>
  <c r="E22" i="9"/>
  <c r="D22" i="9"/>
  <c r="F22" i="9" s="1"/>
  <c r="F21" i="9"/>
  <c r="D17" i="9"/>
  <c r="F16" i="9"/>
  <c r="E13" i="9"/>
  <c r="F12" i="9"/>
  <c r="F13" i="9" s="1"/>
  <c r="E10" i="9"/>
  <c r="F9" i="9"/>
  <c r="F10" i="9" s="1"/>
  <c r="F45" i="9" l="1"/>
  <c r="D23" i="9"/>
  <c r="F268" i="8"/>
  <c r="F271" i="8" s="1"/>
  <c r="F270" i="8"/>
  <c r="F266" i="8"/>
  <c r="G265" i="8"/>
  <c r="G266" i="8" s="1"/>
  <c r="F263" i="8"/>
  <c r="G261" i="8"/>
  <c r="G262" i="8"/>
  <c r="E276" i="8"/>
  <c r="F276" i="8"/>
  <c r="E271" i="8"/>
  <c r="G269" i="8"/>
  <c r="G260" i="8"/>
  <c r="G263" i="8" s="1"/>
  <c r="E17" i="9" l="1"/>
  <c r="E23" i="9" s="1"/>
  <c r="F15" i="9"/>
  <c r="F17" i="9" s="1"/>
  <c r="F23" i="9" s="1"/>
  <c r="G270" i="8"/>
  <c r="E277" i="8"/>
  <c r="G268" i="8"/>
  <c r="G271" i="8" s="1"/>
  <c r="F277" i="8"/>
  <c r="G276" i="8"/>
  <c r="G275" i="8"/>
  <c r="F243" i="8"/>
  <c r="G242" i="8"/>
  <c r="G243" i="8" s="1"/>
  <c r="F252" i="8"/>
  <c r="F253" i="8" s="1"/>
  <c r="F247" i="8"/>
  <c r="G247" i="8" s="1"/>
  <c r="F246" i="8"/>
  <c r="F245" i="8"/>
  <c r="E253" i="8"/>
  <c r="E248" i="8"/>
  <c r="G246" i="8"/>
  <c r="F240" i="8"/>
  <c r="G239" i="8"/>
  <c r="G240" i="8" s="1"/>
  <c r="G277" i="8" l="1"/>
  <c r="E254" i="8"/>
  <c r="G253" i="8"/>
  <c r="G252" i="8"/>
  <c r="F248" i="8"/>
  <c r="F254" i="8" s="1"/>
  <c r="G245" i="8"/>
  <c r="G248" i="8" s="1"/>
  <c r="F222" i="8"/>
  <c r="F224" i="8"/>
  <c r="G224" i="8" s="1"/>
  <c r="F231" i="8"/>
  <c r="E231" i="8"/>
  <c r="G230" i="8"/>
  <c r="E226" i="8"/>
  <c r="G225" i="8"/>
  <c r="G223" i="8"/>
  <c r="F218" i="8"/>
  <c r="G254" i="8" l="1"/>
  <c r="G231" i="8"/>
  <c r="E232" i="8"/>
  <c r="F226" i="8"/>
  <c r="F232" i="8" s="1"/>
  <c r="G217" i="8"/>
  <c r="G218" i="8" s="1"/>
  <c r="G222" i="8"/>
  <c r="G226" i="8" s="1"/>
  <c r="F209" i="8"/>
  <c r="F210" i="8" s="1"/>
  <c r="F203" i="8"/>
  <c r="G203" i="8" s="1"/>
  <c r="F204" i="8"/>
  <c r="G204" i="8" s="1"/>
  <c r="F202" i="8"/>
  <c r="F200" i="8"/>
  <c r="F195" i="8"/>
  <c r="F196" i="8" s="1"/>
  <c r="E210" i="8"/>
  <c r="E205" i="8"/>
  <c r="G202" i="8"/>
  <c r="G201" i="8"/>
  <c r="F176" i="8"/>
  <c r="G175" i="8"/>
  <c r="G176" i="8" s="1"/>
  <c r="F181" i="8"/>
  <c r="G181" i="8" s="1"/>
  <c r="F180" i="8"/>
  <c r="F178" i="8"/>
  <c r="G178" i="8" s="1"/>
  <c r="F172" i="8"/>
  <c r="G172" i="8" s="1"/>
  <c r="G171" i="8"/>
  <c r="F188" i="8"/>
  <c r="E188" i="8"/>
  <c r="G187" i="8"/>
  <c r="E183" i="8"/>
  <c r="G182" i="8"/>
  <c r="G179" i="8"/>
  <c r="F157" i="8"/>
  <c r="G157" i="8" s="1"/>
  <c r="F156" i="8"/>
  <c r="G156" i="8" s="1"/>
  <c r="F155" i="8"/>
  <c r="G155" i="8" s="1"/>
  <c r="F154" i="8"/>
  <c r="G154" i="8" s="1"/>
  <c r="F164" i="8"/>
  <c r="E164" i="8"/>
  <c r="G163" i="8"/>
  <c r="E159" i="8"/>
  <c r="G158" i="8"/>
  <c r="F152" i="8"/>
  <c r="E152" i="8"/>
  <c r="G151" i="8"/>
  <c r="F132" i="8"/>
  <c r="G132" i="8" s="1"/>
  <c r="F135" i="8"/>
  <c r="G135" i="8" s="1"/>
  <c r="F134" i="8"/>
  <c r="G134" i="8" s="1"/>
  <c r="F133" i="8"/>
  <c r="G133" i="8" s="1"/>
  <c r="F142" i="8"/>
  <c r="E142" i="8"/>
  <c r="G141" i="8"/>
  <c r="E137" i="8"/>
  <c r="G136" i="8"/>
  <c r="F130" i="8"/>
  <c r="E130" i="8"/>
  <c r="G129" i="8"/>
  <c r="G128" i="8"/>
  <c r="F126" i="8"/>
  <c r="E126" i="8"/>
  <c r="G125" i="8"/>
  <c r="E106" i="8"/>
  <c r="F106" i="8"/>
  <c r="G105" i="8"/>
  <c r="G104" i="8"/>
  <c r="F117" i="8"/>
  <c r="F118" i="8" s="1"/>
  <c r="F111" i="8"/>
  <c r="G111" i="8" s="1"/>
  <c r="F110" i="8"/>
  <c r="G110" i="8" s="1"/>
  <c r="F108" i="8"/>
  <c r="G108" i="8" s="1"/>
  <c r="F109" i="8"/>
  <c r="E118" i="8"/>
  <c r="E113" i="8"/>
  <c r="G112" i="8"/>
  <c r="G109" i="8"/>
  <c r="F102" i="8"/>
  <c r="E102" i="8"/>
  <c r="G101" i="8"/>
  <c r="G100" i="8"/>
  <c r="F92" i="8"/>
  <c r="G92" i="8" s="1"/>
  <c r="F85" i="8"/>
  <c r="G85" i="8" s="1"/>
  <c r="F87" i="8"/>
  <c r="G87" i="8" s="1"/>
  <c r="F86" i="8"/>
  <c r="G86" i="8" s="1"/>
  <c r="F83" i="8"/>
  <c r="F79" i="8"/>
  <c r="G78" i="8"/>
  <c r="E93" i="8"/>
  <c r="E88" i="8"/>
  <c r="G84" i="8"/>
  <c r="E79" i="8"/>
  <c r="G77" i="8"/>
  <c r="E65" i="8"/>
  <c r="G64" i="8"/>
  <c r="F63" i="8"/>
  <c r="G63" i="8" s="1"/>
  <c r="F61" i="8"/>
  <c r="G61" i="8" s="1"/>
  <c r="F60" i="8"/>
  <c r="F55" i="8"/>
  <c r="G55" i="8" s="1"/>
  <c r="E70" i="8"/>
  <c r="G69" i="8"/>
  <c r="F70" i="8"/>
  <c r="G62" i="8"/>
  <c r="E56" i="8"/>
  <c r="E42" i="8"/>
  <c r="F42" i="8"/>
  <c r="F47" i="8"/>
  <c r="G47" i="8" s="1"/>
  <c r="F41" i="8"/>
  <c r="G41" i="8" s="1"/>
  <c r="F39" i="8"/>
  <c r="F40" i="8"/>
  <c r="E48" i="8"/>
  <c r="E43" i="8"/>
  <c r="F37" i="8"/>
  <c r="E37" i="8"/>
  <c r="G36" i="8"/>
  <c r="G37" i="8" s="1"/>
  <c r="F34" i="8"/>
  <c r="E34" i="8"/>
  <c r="G33" i="8"/>
  <c r="E25" i="8"/>
  <c r="E26" i="8" s="1"/>
  <c r="F21" i="8"/>
  <c r="G20" i="8"/>
  <c r="E19" i="8"/>
  <c r="G19" i="8" s="1"/>
  <c r="F13" i="8"/>
  <c r="E13" i="8"/>
  <c r="G12" i="8"/>
  <c r="G11" i="8"/>
  <c r="F26" i="8"/>
  <c r="F16" i="8"/>
  <c r="E16" i="8"/>
  <c r="G15" i="8"/>
  <c r="G16" i="8" s="1"/>
  <c r="G238" i="7"/>
  <c r="F238" i="7"/>
  <c r="E238" i="7"/>
  <c r="G237" i="7"/>
  <c r="F243" i="7"/>
  <c r="G243" i="7" s="1"/>
  <c r="G242" i="7"/>
  <c r="F242" i="7"/>
  <c r="F241" i="7"/>
  <c r="F240" i="7"/>
  <c r="G240" i="7"/>
  <c r="F249" i="7"/>
  <c r="E249" i="7"/>
  <c r="G248" i="7"/>
  <c r="E244" i="7"/>
  <c r="E250" i="7" s="1"/>
  <c r="G241" i="7"/>
  <c r="F222" i="7"/>
  <c r="G222" i="7" s="1"/>
  <c r="F221" i="7"/>
  <c r="G221" i="7" s="1"/>
  <c r="F220" i="7"/>
  <c r="G220" i="7" s="1"/>
  <c r="F228" i="7"/>
  <c r="E228" i="7"/>
  <c r="G227" i="7"/>
  <c r="E223" i="7"/>
  <c r="G202" i="7"/>
  <c r="E203" i="7"/>
  <c r="F205" i="7"/>
  <c r="F206" i="7" s="1"/>
  <c r="F201" i="7"/>
  <c r="G201" i="7" s="1"/>
  <c r="F199" i="7"/>
  <c r="F200" i="7"/>
  <c r="F209" i="7"/>
  <c r="E209" i="7"/>
  <c r="G208" i="7"/>
  <c r="G200" i="7"/>
  <c r="F197" i="7"/>
  <c r="E197" i="7"/>
  <c r="G196" i="7"/>
  <c r="G197" i="7" s="1"/>
  <c r="E187" i="7"/>
  <c r="F178" i="7"/>
  <c r="E178" i="7"/>
  <c r="G177" i="7"/>
  <c r="G178" i="7" s="1"/>
  <c r="F186" i="7"/>
  <c r="G186" i="7" s="1"/>
  <c r="F180" i="7"/>
  <c r="G180" i="7" s="1"/>
  <c r="F181" i="7"/>
  <c r="G181" i="7" s="1"/>
  <c r="E182" i="7"/>
  <c r="F167" i="7"/>
  <c r="G167" i="7" s="1"/>
  <c r="G153" i="7"/>
  <c r="G154" i="7" s="1"/>
  <c r="E154" i="7"/>
  <c r="F154" i="7"/>
  <c r="G162" i="7"/>
  <c r="E163" i="7"/>
  <c r="F159" i="7"/>
  <c r="F161" i="7"/>
  <c r="G161" i="7" s="1"/>
  <c r="E168" i="7"/>
  <c r="G160" i="7"/>
  <c r="G158" i="7"/>
  <c r="G156" i="7"/>
  <c r="F156" i="7"/>
  <c r="E156" i="7"/>
  <c r="F145" i="7"/>
  <c r="F146" i="7" s="1"/>
  <c r="E141" i="7"/>
  <c r="F138" i="7"/>
  <c r="G138" i="7" s="1"/>
  <c r="F140" i="7"/>
  <c r="G140" i="7" s="1"/>
  <c r="F139" i="7"/>
  <c r="G139" i="7" s="1"/>
  <c r="F134" i="7"/>
  <c r="E134" i="7"/>
  <c r="G133" i="7"/>
  <c r="E146" i="7"/>
  <c r="G136" i="7"/>
  <c r="F136" i="7"/>
  <c r="E136" i="7"/>
  <c r="G132" i="7"/>
  <c r="F119" i="7"/>
  <c r="G119" i="7" s="1"/>
  <c r="F125" i="7"/>
  <c r="E125" i="7"/>
  <c r="G124" i="7"/>
  <c r="E120" i="7"/>
  <c r="G117" i="7"/>
  <c r="F117" i="7"/>
  <c r="E117" i="7"/>
  <c r="F115" i="7"/>
  <c r="E115" i="7"/>
  <c r="G114" i="7"/>
  <c r="G115" i="7" s="1"/>
  <c r="F96" i="7"/>
  <c r="F106" i="7"/>
  <c r="F107" i="7" s="1"/>
  <c r="F100" i="7"/>
  <c r="G100" i="7" s="1"/>
  <c r="E102" i="7"/>
  <c r="F101" i="7"/>
  <c r="G101" i="7" s="1"/>
  <c r="E107" i="7"/>
  <c r="G98" i="7"/>
  <c r="F98" i="7"/>
  <c r="E98" i="7"/>
  <c r="E96" i="7"/>
  <c r="G95" i="7"/>
  <c r="G96" i="7" s="1"/>
  <c r="F77" i="7"/>
  <c r="F82" i="7"/>
  <c r="G82" i="7" s="1"/>
  <c r="F88" i="7"/>
  <c r="E88" i="7"/>
  <c r="G87" i="7"/>
  <c r="E83" i="7"/>
  <c r="G81" i="7"/>
  <c r="G79" i="7"/>
  <c r="F79" i="7"/>
  <c r="E79" i="7"/>
  <c r="G76" i="7"/>
  <c r="G75" i="7"/>
  <c r="E77" i="7"/>
  <c r="E63" i="7"/>
  <c r="F61" i="7"/>
  <c r="F63" i="7" s="1"/>
  <c r="G54" i="7"/>
  <c r="G55" i="7"/>
  <c r="G60" i="7"/>
  <c r="G61" i="7"/>
  <c r="G62" i="7"/>
  <c r="E53" i="7"/>
  <c r="E56" i="7" s="1"/>
  <c r="F56" i="7"/>
  <c r="F34" i="7"/>
  <c r="F40" i="7"/>
  <c r="G40" i="7" s="1"/>
  <c r="E34" i="7"/>
  <c r="F68" i="7"/>
  <c r="E68" i="7"/>
  <c r="G67" i="7"/>
  <c r="G58" i="7"/>
  <c r="F58" i="7"/>
  <c r="E58" i="7"/>
  <c r="F46" i="7"/>
  <c r="E46" i="7"/>
  <c r="G45" i="7"/>
  <c r="E41" i="7"/>
  <c r="G39" i="7"/>
  <c r="G38" i="7"/>
  <c r="G36" i="7"/>
  <c r="F36" i="7"/>
  <c r="E36" i="7"/>
  <c r="G33" i="7"/>
  <c r="G34" i="7" s="1"/>
  <c r="F21" i="7"/>
  <c r="G20" i="7"/>
  <c r="E21" i="7"/>
  <c r="E26" i="7"/>
  <c r="G16" i="7"/>
  <c r="F12" i="7"/>
  <c r="G11" i="7"/>
  <c r="E10" i="7"/>
  <c r="G10" i="7" s="1"/>
  <c r="E9" i="7"/>
  <c r="G9" i="7" s="1"/>
  <c r="G17" i="7"/>
  <c r="G18" i="7"/>
  <c r="G19" i="7"/>
  <c r="F26" i="7"/>
  <c r="G25" i="7"/>
  <c r="G14" i="7"/>
  <c r="F14" i="7"/>
  <c r="E14" i="7"/>
  <c r="F227" i="6"/>
  <c r="F219" i="6"/>
  <c r="F206" i="6"/>
  <c r="F189" i="6"/>
  <c r="F167" i="6"/>
  <c r="E167" i="6"/>
  <c r="F152" i="6"/>
  <c r="F115" i="6"/>
  <c r="F134" i="6"/>
  <c r="E115" i="6"/>
  <c r="F73" i="6"/>
  <c r="F77" i="6"/>
  <c r="F53" i="6"/>
  <c r="F57" i="6"/>
  <c r="F37" i="6"/>
  <c r="F23" i="6"/>
  <c r="E18" i="6"/>
  <c r="G22" i="6"/>
  <c r="F18" i="6"/>
  <c r="G17" i="6"/>
  <c r="G209" i="8" l="1"/>
  <c r="G173" i="8"/>
  <c r="G232" i="8"/>
  <c r="G210" i="8"/>
  <c r="F183" i="8"/>
  <c r="E211" i="8"/>
  <c r="E189" i="8"/>
  <c r="F205" i="8"/>
  <c r="F211" i="8" s="1"/>
  <c r="G200" i="8"/>
  <c r="G205" i="8" s="1"/>
  <c r="G195" i="8"/>
  <c r="G196" i="8" s="1"/>
  <c r="G180" i="8"/>
  <c r="G183" i="8" s="1"/>
  <c r="F173" i="8"/>
  <c r="F189" i="8" s="1"/>
  <c r="G42" i="8"/>
  <c r="G70" i="8"/>
  <c r="G188" i="8"/>
  <c r="E119" i="8"/>
  <c r="F56" i="8"/>
  <c r="G56" i="8" s="1"/>
  <c r="F65" i="8"/>
  <c r="F93" i="8"/>
  <c r="G93" i="8" s="1"/>
  <c r="F113" i="8"/>
  <c r="F119" i="8" s="1"/>
  <c r="E165" i="8"/>
  <c r="G164" i="8"/>
  <c r="E94" i="8"/>
  <c r="G60" i="8"/>
  <c r="G65" i="8" s="1"/>
  <c r="G117" i="8"/>
  <c r="G106" i="8"/>
  <c r="G152" i="8"/>
  <c r="G159" i="8"/>
  <c r="F159" i="8"/>
  <c r="F165" i="8" s="1"/>
  <c r="F43" i="8"/>
  <c r="E143" i="8"/>
  <c r="G142" i="8"/>
  <c r="G130" i="8"/>
  <c r="G137" i="8"/>
  <c r="G126" i="8"/>
  <c r="F137" i="8"/>
  <c r="F143" i="8" s="1"/>
  <c r="G118" i="8"/>
  <c r="G113" i="8"/>
  <c r="G102" i="8"/>
  <c r="F88" i="8"/>
  <c r="G79" i="8"/>
  <c r="G83" i="8"/>
  <c r="G88" i="8" s="1"/>
  <c r="G13" i="8"/>
  <c r="G25" i="8"/>
  <c r="G39" i="8"/>
  <c r="E71" i="8"/>
  <c r="F27" i="8"/>
  <c r="F48" i="8"/>
  <c r="G48" i="8" s="1"/>
  <c r="E21" i="8"/>
  <c r="E27" i="8" s="1"/>
  <c r="G34" i="8"/>
  <c r="G40" i="8"/>
  <c r="E49" i="8"/>
  <c r="G26" i="8"/>
  <c r="G18" i="8"/>
  <c r="G249" i="7"/>
  <c r="F244" i="7"/>
  <c r="F250" i="7" s="1"/>
  <c r="G244" i="7"/>
  <c r="E188" i="7"/>
  <c r="F203" i="7"/>
  <c r="F210" i="7" s="1"/>
  <c r="E210" i="7"/>
  <c r="G199" i="7"/>
  <c r="G203" i="7" s="1"/>
  <c r="E229" i="7"/>
  <c r="G228" i="7"/>
  <c r="G205" i="7"/>
  <c r="G206" i="7" s="1"/>
  <c r="G223" i="7"/>
  <c r="F223" i="7"/>
  <c r="F229" i="7" s="1"/>
  <c r="G209" i="7"/>
  <c r="F182" i="7"/>
  <c r="F168" i="7"/>
  <c r="G168" i="7" s="1"/>
  <c r="G134" i="7"/>
  <c r="G182" i="7"/>
  <c r="F187" i="7"/>
  <c r="F188" i="7" s="1"/>
  <c r="G141" i="7"/>
  <c r="E147" i="7"/>
  <c r="F141" i="7"/>
  <c r="F147" i="7" s="1"/>
  <c r="G102" i="7"/>
  <c r="F163" i="7"/>
  <c r="F169" i="7" s="1"/>
  <c r="G106" i="7"/>
  <c r="E126" i="7"/>
  <c r="G145" i="7"/>
  <c r="G159" i="7"/>
  <c r="G163" i="7" s="1"/>
  <c r="E169" i="7"/>
  <c r="G146" i="7"/>
  <c r="G125" i="7"/>
  <c r="F120" i="7"/>
  <c r="F126" i="7" s="1"/>
  <c r="G120" i="7"/>
  <c r="G53" i="7"/>
  <c r="G56" i="7" s="1"/>
  <c r="F102" i="7"/>
  <c r="F108" i="7" s="1"/>
  <c r="E69" i="7"/>
  <c r="E89" i="7"/>
  <c r="E108" i="7"/>
  <c r="G63" i="7"/>
  <c r="G107" i="7"/>
  <c r="F41" i="7"/>
  <c r="F47" i="7" s="1"/>
  <c r="G88" i="7"/>
  <c r="F69" i="7"/>
  <c r="G77" i="7"/>
  <c r="G83" i="7"/>
  <c r="F83" i="7"/>
  <c r="F89" i="7" s="1"/>
  <c r="G68" i="7"/>
  <c r="E47" i="7"/>
  <c r="G26" i="7"/>
  <c r="G12" i="7"/>
  <c r="F27" i="7"/>
  <c r="E12" i="7"/>
  <c r="E27" i="7" s="1"/>
  <c r="G41" i="7"/>
  <c r="G46" i="7"/>
  <c r="G21" i="7"/>
  <c r="G166" i="6"/>
  <c r="G167" i="6" s="1"/>
  <c r="G72" i="6"/>
  <c r="G71" i="6"/>
  <c r="G52" i="6"/>
  <c r="G51" i="6"/>
  <c r="G170" i="6"/>
  <c r="G94" i="6"/>
  <c r="G36" i="6"/>
  <c r="G35" i="6"/>
  <c r="G218" i="6"/>
  <c r="G15" i="6"/>
  <c r="G16" i="6"/>
  <c r="G14" i="6"/>
  <c r="F232" i="6"/>
  <c r="F233" i="6" s="1"/>
  <c r="E232" i="6"/>
  <c r="G231" i="6"/>
  <c r="G232" i="6" s="1"/>
  <c r="E227" i="6"/>
  <c r="G226" i="6"/>
  <c r="G225" i="6"/>
  <c r="G224" i="6"/>
  <c r="G223" i="6"/>
  <c r="G221" i="6"/>
  <c r="F221" i="6"/>
  <c r="E221" i="6"/>
  <c r="G219" i="6"/>
  <c r="F211" i="6"/>
  <c r="E211" i="6"/>
  <c r="G210" i="6"/>
  <c r="G211" i="6" s="1"/>
  <c r="E206" i="6"/>
  <c r="G205" i="6"/>
  <c r="G206" i="6" s="1"/>
  <c r="G203" i="6"/>
  <c r="F203" i="6"/>
  <c r="E203" i="6"/>
  <c r="G201" i="6"/>
  <c r="F194" i="6"/>
  <c r="E194" i="6"/>
  <c r="G193" i="6"/>
  <c r="G194" i="6" s="1"/>
  <c r="E189" i="6"/>
  <c r="G188" i="6"/>
  <c r="G187" i="6"/>
  <c r="G185" i="6"/>
  <c r="F185" i="6"/>
  <c r="E185" i="6"/>
  <c r="G183" i="6"/>
  <c r="F176" i="6"/>
  <c r="E176" i="6"/>
  <c r="G175" i="6"/>
  <c r="G176" i="6" s="1"/>
  <c r="F171" i="6"/>
  <c r="E171" i="6"/>
  <c r="G169" i="6"/>
  <c r="G171" i="6" s="1"/>
  <c r="G164" i="6"/>
  <c r="F157" i="6"/>
  <c r="E157" i="6"/>
  <c r="G156" i="6"/>
  <c r="G157" i="6" s="1"/>
  <c r="E152" i="6"/>
  <c r="G151" i="6"/>
  <c r="G150" i="6"/>
  <c r="G148" i="6"/>
  <c r="F148" i="6"/>
  <c r="E148" i="6"/>
  <c r="G146" i="6"/>
  <c r="F139" i="6"/>
  <c r="E139" i="6"/>
  <c r="G138" i="6"/>
  <c r="G139" i="6" s="1"/>
  <c r="E134" i="6"/>
  <c r="G133" i="6"/>
  <c r="G132" i="6"/>
  <c r="G131" i="6"/>
  <c r="G129" i="6"/>
  <c r="F129" i="6"/>
  <c r="E129" i="6"/>
  <c r="G127" i="6"/>
  <c r="F120" i="6"/>
  <c r="E120" i="6"/>
  <c r="G119" i="6"/>
  <c r="G120" i="6" s="1"/>
  <c r="G114" i="6"/>
  <c r="G113" i="6"/>
  <c r="G112" i="6"/>
  <c r="G110" i="6"/>
  <c r="F110" i="6"/>
  <c r="E110" i="6"/>
  <c r="G108" i="6"/>
  <c r="F101" i="6"/>
  <c r="E101" i="6"/>
  <c r="G100" i="6"/>
  <c r="G101" i="6" s="1"/>
  <c r="F96" i="6"/>
  <c r="E96" i="6"/>
  <c r="G95" i="6"/>
  <c r="G93" i="6"/>
  <c r="G91" i="6"/>
  <c r="F91" i="6"/>
  <c r="E91" i="6"/>
  <c r="G89" i="6"/>
  <c r="F82" i="6"/>
  <c r="F83" i="6" s="1"/>
  <c r="E82" i="6"/>
  <c r="G81" i="6"/>
  <c r="G82" i="6" s="1"/>
  <c r="E77" i="6"/>
  <c r="G77" i="6" s="1"/>
  <c r="G76" i="6"/>
  <c r="G75" i="6"/>
  <c r="E73" i="6"/>
  <c r="G69" i="6"/>
  <c r="F62" i="6"/>
  <c r="F63" i="6" s="1"/>
  <c r="E62" i="6"/>
  <c r="G61" i="6"/>
  <c r="G62" i="6" s="1"/>
  <c r="E57" i="6"/>
  <c r="G56" i="6"/>
  <c r="G55" i="6"/>
  <c r="E53" i="6"/>
  <c r="G49" i="6"/>
  <c r="F42" i="6"/>
  <c r="E42" i="6"/>
  <c r="G41" i="6"/>
  <c r="G42" i="6" s="1"/>
  <c r="E37" i="6"/>
  <c r="G34" i="6"/>
  <c r="G32" i="6"/>
  <c r="F32" i="6"/>
  <c r="E32" i="6"/>
  <c r="G30" i="6"/>
  <c r="G23" i="6"/>
  <c r="F24" i="6"/>
  <c r="G12" i="6"/>
  <c r="F12" i="6"/>
  <c r="E12" i="6"/>
  <c r="G10" i="6"/>
  <c r="G234" i="5"/>
  <c r="F235" i="5"/>
  <c r="G213" i="5"/>
  <c r="G212" i="5"/>
  <c r="F213" i="5"/>
  <c r="G192" i="5"/>
  <c r="F193" i="5"/>
  <c r="F199" i="5" s="1"/>
  <c r="G154" i="5"/>
  <c r="F155" i="5"/>
  <c r="F134" i="5"/>
  <c r="G133" i="5"/>
  <c r="F114" i="5"/>
  <c r="G113" i="5"/>
  <c r="G112" i="5"/>
  <c r="E114" i="5"/>
  <c r="G91" i="5"/>
  <c r="F92" i="5"/>
  <c r="G72" i="5"/>
  <c r="G21" i="5"/>
  <c r="G232" i="5"/>
  <c r="G131" i="5"/>
  <c r="G130" i="5"/>
  <c r="F70" i="5"/>
  <c r="G70" i="5" s="1"/>
  <c r="F50" i="5"/>
  <c r="F52" i="5" s="1"/>
  <c r="F240" i="5"/>
  <c r="E240" i="5"/>
  <c r="G239" i="5"/>
  <c r="G240" i="5" s="1"/>
  <c r="E235" i="5"/>
  <c r="G235" i="5" s="1"/>
  <c r="G231" i="5"/>
  <c r="G230" i="5"/>
  <c r="G229" i="5"/>
  <c r="G227" i="5"/>
  <c r="F227" i="5"/>
  <c r="E227" i="5"/>
  <c r="G225" i="5"/>
  <c r="F218" i="5"/>
  <c r="E218" i="5"/>
  <c r="G217" i="5"/>
  <c r="G218" i="5" s="1"/>
  <c r="E213" i="5"/>
  <c r="G210" i="5"/>
  <c r="G209" i="5"/>
  <c r="G207" i="5"/>
  <c r="F207" i="5"/>
  <c r="E207" i="5"/>
  <c r="G205" i="5"/>
  <c r="F198" i="5"/>
  <c r="E198" i="5"/>
  <c r="G197" i="5"/>
  <c r="G198" i="5" s="1"/>
  <c r="E193" i="5"/>
  <c r="G190" i="5"/>
  <c r="G189" i="5"/>
  <c r="G188" i="5"/>
  <c r="G186" i="5"/>
  <c r="F186" i="5"/>
  <c r="E186" i="5"/>
  <c r="G184" i="5"/>
  <c r="F177" i="5"/>
  <c r="E177" i="5"/>
  <c r="G176" i="5"/>
  <c r="G177" i="5" s="1"/>
  <c r="F172" i="5"/>
  <c r="E172" i="5"/>
  <c r="G171" i="5"/>
  <c r="G169" i="5"/>
  <c r="F169" i="5"/>
  <c r="E169" i="5"/>
  <c r="G167" i="5"/>
  <c r="F160" i="5"/>
  <c r="E160" i="5"/>
  <c r="G159" i="5"/>
  <c r="G160" i="5" s="1"/>
  <c r="E155" i="5"/>
  <c r="G152" i="5"/>
  <c r="G151" i="5"/>
  <c r="G150" i="5"/>
  <c r="G148" i="5"/>
  <c r="F148" i="5"/>
  <c r="E148" i="5"/>
  <c r="G146" i="5"/>
  <c r="F139" i="5"/>
  <c r="E139" i="5"/>
  <c r="G138" i="5"/>
  <c r="G139" i="5" s="1"/>
  <c r="E134" i="5"/>
  <c r="G128" i="5"/>
  <c r="F128" i="5"/>
  <c r="E128" i="5"/>
  <c r="G126" i="5"/>
  <c r="F119" i="5"/>
  <c r="E119" i="5"/>
  <c r="G118" i="5"/>
  <c r="G119" i="5" s="1"/>
  <c r="G110" i="5"/>
  <c r="G109" i="5"/>
  <c r="G108" i="5"/>
  <c r="G106" i="5"/>
  <c r="F106" i="5"/>
  <c r="E106" i="5"/>
  <c r="G104" i="5"/>
  <c r="F97" i="5"/>
  <c r="E97" i="5"/>
  <c r="G96" i="5"/>
  <c r="G97" i="5" s="1"/>
  <c r="E92" i="5"/>
  <c r="G89" i="5"/>
  <c r="G92" i="5" s="1"/>
  <c r="G87" i="5"/>
  <c r="F87" i="5"/>
  <c r="E87" i="5"/>
  <c r="G85" i="5"/>
  <c r="F78" i="5"/>
  <c r="E78" i="5"/>
  <c r="G77" i="5"/>
  <c r="G78" i="5" s="1"/>
  <c r="E73" i="5"/>
  <c r="G69" i="5"/>
  <c r="G68" i="5"/>
  <c r="G66" i="5"/>
  <c r="F66" i="5"/>
  <c r="E66" i="5"/>
  <c r="G64" i="5"/>
  <c r="F57" i="5"/>
  <c r="E57" i="5"/>
  <c r="G56" i="5"/>
  <c r="G57" i="5" s="1"/>
  <c r="E52" i="5"/>
  <c r="G51" i="5"/>
  <c r="G49" i="5"/>
  <c r="G47" i="5"/>
  <c r="F47" i="5"/>
  <c r="E47" i="5"/>
  <c r="G45" i="5"/>
  <c r="F38" i="5"/>
  <c r="E38" i="5"/>
  <c r="G37" i="5"/>
  <c r="G38" i="5" s="1"/>
  <c r="F33" i="5"/>
  <c r="E33" i="5"/>
  <c r="G32" i="5"/>
  <c r="G30" i="5"/>
  <c r="F30" i="5"/>
  <c r="E30" i="5"/>
  <c r="G28" i="5"/>
  <c r="G10" i="5"/>
  <c r="F17" i="5"/>
  <c r="E17" i="5"/>
  <c r="G16" i="5"/>
  <c r="G15" i="5"/>
  <c r="G14" i="5"/>
  <c r="G12" i="5"/>
  <c r="F12" i="5"/>
  <c r="E12" i="5"/>
  <c r="F44" i="4"/>
  <c r="G43" i="4"/>
  <c r="E44" i="4"/>
  <c r="E38" i="4"/>
  <c r="G42" i="4"/>
  <c r="G41" i="4"/>
  <c r="G40" i="4"/>
  <c r="E23" i="4"/>
  <c r="F23" i="4"/>
  <c r="G22" i="4"/>
  <c r="G23" i="4" s="1"/>
  <c r="F18" i="4"/>
  <c r="E18" i="4"/>
  <c r="G17" i="4"/>
  <c r="F11" i="4"/>
  <c r="E11" i="4"/>
  <c r="G10" i="4"/>
  <c r="G11" i="4" s="1"/>
  <c r="F243" i="4"/>
  <c r="G243" i="4" s="1"/>
  <c r="F183" i="4"/>
  <c r="G183" i="4" s="1"/>
  <c r="G100" i="4"/>
  <c r="F88" i="4"/>
  <c r="F89" i="4" s="1"/>
  <c r="F60" i="4"/>
  <c r="G60" i="4" s="1"/>
  <c r="G15" i="4"/>
  <c r="G18" i="4" s="1"/>
  <c r="G16" i="4"/>
  <c r="F253" i="4"/>
  <c r="E253" i="4"/>
  <c r="E248" i="4"/>
  <c r="G247" i="4"/>
  <c r="G246" i="4"/>
  <c r="F248" i="4"/>
  <c r="G245" i="4"/>
  <c r="G244" i="4"/>
  <c r="G241" i="4"/>
  <c r="F241" i="4"/>
  <c r="E241" i="4"/>
  <c r="F232" i="4"/>
  <c r="E232" i="4"/>
  <c r="G231" i="4"/>
  <c r="F227" i="4"/>
  <c r="E227" i="4"/>
  <c r="G226" i="4"/>
  <c r="G225" i="4"/>
  <c r="G224" i="4"/>
  <c r="G223" i="4"/>
  <c r="G222" i="4"/>
  <c r="G220" i="4"/>
  <c r="F220" i="4"/>
  <c r="E220" i="4"/>
  <c r="E218" i="4"/>
  <c r="F211" i="4"/>
  <c r="E211" i="4"/>
  <c r="G210" i="4"/>
  <c r="F206" i="4"/>
  <c r="E206" i="4"/>
  <c r="G205" i="4"/>
  <c r="G204" i="4"/>
  <c r="G203" i="4"/>
  <c r="G202" i="4"/>
  <c r="G200" i="4"/>
  <c r="F200" i="4"/>
  <c r="E200" i="4"/>
  <c r="F191" i="4"/>
  <c r="E191" i="4"/>
  <c r="G190" i="4"/>
  <c r="E186" i="4"/>
  <c r="G185" i="4"/>
  <c r="G182" i="4"/>
  <c r="G181" i="4"/>
  <c r="G179" i="4"/>
  <c r="F179" i="4"/>
  <c r="E179" i="4"/>
  <c r="E177" i="4"/>
  <c r="F170" i="4"/>
  <c r="E170" i="4"/>
  <c r="G169" i="4"/>
  <c r="F165" i="4"/>
  <c r="E165" i="4"/>
  <c r="G164" i="4"/>
  <c r="G163" i="4"/>
  <c r="G162" i="4"/>
  <c r="G161" i="4"/>
  <c r="G160" i="4"/>
  <c r="G158" i="4"/>
  <c r="F158" i="4"/>
  <c r="E158" i="4"/>
  <c r="F149" i="4"/>
  <c r="E149" i="4"/>
  <c r="G148" i="4"/>
  <c r="F144" i="4"/>
  <c r="E144" i="4"/>
  <c r="G143" i="4"/>
  <c r="G142" i="4"/>
  <c r="G141" i="4"/>
  <c r="G140" i="4"/>
  <c r="G139" i="4"/>
  <c r="G137" i="4"/>
  <c r="F137" i="4"/>
  <c r="E137" i="4"/>
  <c r="F128" i="4"/>
  <c r="E128" i="4"/>
  <c r="G127" i="4"/>
  <c r="F123" i="4"/>
  <c r="E123" i="4"/>
  <c r="G122" i="4"/>
  <c r="G121" i="4"/>
  <c r="G120" i="4"/>
  <c r="G118" i="4"/>
  <c r="F118" i="4"/>
  <c r="E118" i="4"/>
  <c r="F109" i="4"/>
  <c r="E109" i="4"/>
  <c r="G108" i="4"/>
  <c r="E104" i="4"/>
  <c r="G103" i="4"/>
  <c r="F104" i="4"/>
  <c r="G101" i="4"/>
  <c r="G98" i="4"/>
  <c r="F98" i="4"/>
  <c r="E98" i="4"/>
  <c r="E89" i="4"/>
  <c r="F84" i="4"/>
  <c r="E84" i="4"/>
  <c r="G83" i="4"/>
  <c r="G82" i="4"/>
  <c r="G81" i="4"/>
  <c r="G80" i="4"/>
  <c r="G78" i="4"/>
  <c r="F78" i="4"/>
  <c r="E78" i="4"/>
  <c r="F69" i="4"/>
  <c r="E69" i="4"/>
  <c r="G68" i="4"/>
  <c r="E64" i="4"/>
  <c r="G63" i="4"/>
  <c r="G62" i="4"/>
  <c r="G61" i="4"/>
  <c r="G59" i="4"/>
  <c r="G57" i="4"/>
  <c r="F57" i="4"/>
  <c r="E57" i="4"/>
  <c r="G39" i="4"/>
  <c r="G37" i="4"/>
  <c r="G36" i="4"/>
  <c r="G35" i="4"/>
  <c r="G34" i="4"/>
  <c r="G44" i="4" s="1"/>
  <c r="G32" i="4"/>
  <c r="F32" i="4"/>
  <c r="E32" i="4"/>
  <c r="E30" i="4"/>
  <c r="G13" i="4"/>
  <c r="F13" i="4"/>
  <c r="E13" i="4"/>
  <c r="F254" i="3"/>
  <c r="F239" i="3"/>
  <c r="G238" i="3"/>
  <c r="G239" i="3" s="1"/>
  <c r="F248" i="3"/>
  <c r="G247" i="3"/>
  <c r="F226" i="3"/>
  <c r="G225" i="3"/>
  <c r="E226" i="3"/>
  <c r="F201" i="3"/>
  <c r="G269" i="3"/>
  <c r="G272" i="3"/>
  <c r="G273" i="3"/>
  <c r="G268" i="3"/>
  <c r="E264" i="3"/>
  <c r="G261" i="3"/>
  <c r="G262" i="3"/>
  <c r="G263" i="3"/>
  <c r="F260" i="3"/>
  <c r="F264" i="3" s="1"/>
  <c r="G264" i="3" s="1"/>
  <c r="F270" i="3"/>
  <c r="G270" i="3" s="1"/>
  <c r="F271" i="3"/>
  <c r="G271" i="3" s="1"/>
  <c r="G252" i="3"/>
  <c r="G244" i="3"/>
  <c r="G245" i="3"/>
  <c r="G246" i="3"/>
  <c r="G243" i="3"/>
  <c r="G248" i="3" s="1"/>
  <c r="G230" i="3"/>
  <c r="G221" i="3"/>
  <c r="G222" i="3"/>
  <c r="G226" i="3" s="1"/>
  <c r="G223" i="3"/>
  <c r="G224" i="3"/>
  <c r="G220" i="3"/>
  <c r="G208" i="3"/>
  <c r="G198" i="3"/>
  <c r="G199" i="3"/>
  <c r="G200" i="3"/>
  <c r="G201" i="3"/>
  <c r="G202" i="3"/>
  <c r="G203" i="3"/>
  <c r="G197" i="3"/>
  <c r="G185" i="3"/>
  <c r="G176" i="3"/>
  <c r="G177" i="3"/>
  <c r="G178" i="3"/>
  <c r="G179" i="3"/>
  <c r="G180" i="3"/>
  <c r="G175" i="3"/>
  <c r="F181" i="3"/>
  <c r="E181" i="3"/>
  <c r="F159" i="3"/>
  <c r="G158" i="3"/>
  <c r="E159" i="3"/>
  <c r="G153" i="3"/>
  <c r="G154" i="3"/>
  <c r="G155" i="3"/>
  <c r="G156" i="3"/>
  <c r="G157" i="3"/>
  <c r="G152" i="3"/>
  <c r="G140" i="3"/>
  <c r="G130" i="3"/>
  <c r="G131" i="3"/>
  <c r="G132" i="3"/>
  <c r="G133" i="3"/>
  <c r="G134" i="3"/>
  <c r="G135" i="3"/>
  <c r="G129" i="3"/>
  <c r="G117" i="3"/>
  <c r="G107" i="3"/>
  <c r="G108" i="3"/>
  <c r="G109" i="3"/>
  <c r="G110" i="3"/>
  <c r="G112" i="3"/>
  <c r="G106" i="3"/>
  <c r="G94" i="3"/>
  <c r="G84" i="3"/>
  <c r="G85" i="3"/>
  <c r="G86" i="3"/>
  <c r="G87" i="3"/>
  <c r="G88" i="3"/>
  <c r="G89" i="3"/>
  <c r="G83" i="3"/>
  <c r="G71" i="3"/>
  <c r="G61" i="3"/>
  <c r="G62" i="3"/>
  <c r="G63" i="3"/>
  <c r="G64" i="3"/>
  <c r="G65" i="3"/>
  <c r="G66" i="3"/>
  <c r="G60" i="3"/>
  <c r="F111" i="3"/>
  <c r="F113" i="3" s="1"/>
  <c r="G39" i="3"/>
  <c r="G40" i="3"/>
  <c r="G41" i="3"/>
  <c r="G42" i="3"/>
  <c r="G43" i="3"/>
  <c r="G38" i="3"/>
  <c r="G26" i="3"/>
  <c r="E12" i="3"/>
  <c r="F12" i="3"/>
  <c r="F22" i="3"/>
  <c r="E22" i="3"/>
  <c r="G21" i="3"/>
  <c r="F279" i="3"/>
  <c r="E279" i="3"/>
  <c r="G277" i="3"/>
  <c r="E274" i="3"/>
  <c r="G266" i="3"/>
  <c r="F266" i="3"/>
  <c r="E266" i="3"/>
  <c r="F253" i="3"/>
  <c r="E253" i="3"/>
  <c r="G251" i="3"/>
  <c r="E248" i="3"/>
  <c r="G241" i="3"/>
  <c r="F241" i="3"/>
  <c r="E241" i="3"/>
  <c r="E239" i="3"/>
  <c r="E254" i="3" s="1"/>
  <c r="G254" i="3" s="1"/>
  <c r="F231" i="3"/>
  <c r="E231" i="3"/>
  <c r="G229" i="3"/>
  <c r="G218" i="3"/>
  <c r="F218" i="3"/>
  <c r="E218" i="3"/>
  <c r="F209" i="3"/>
  <c r="E209" i="3"/>
  <c r="G207" i="3"/>
  <c r="E204" i="3"/>
  <c r="F204" i="3"/>
  <c r="G195" i="3"/>
  <c r="F195" i="3"/>
  <c r="E195" i="3"/>
  <c r="E193" i="3"/>
  <c r="F186" i="3"/>
  <c r="E186" i="3"/>
  <c r="G184" i="3"/>
  <c r="G173" i="3"/>
  <c r="F173" i="3"/>
  <c r="E173" i="3"/>
  <c r="F164" i="3"/>
  <c r="E164" i="3"/>
  <c r="G163" i="3"/>
  <c r="G162" i="3"/>
  <c r="G150" i="3"/>
  <c r="F150" i="3"/>
  <c r="E150" i="3"/>
  <c r="F141" i="3"/>
  <c r="E141" i="3"/>
  <c r="G139" i="3"/>
  <c r="F136" i="3"/>
  <c r="E136" i="3"/>
  <c r="G127" i="3"/>
  <c r="F127" i="3"/>
  <c r="E127" i="3"/>
  <c r="F118" i="3"/>
  <c r="E118" i="3"/>
  <c r="G116" i="3"/>
  <c r="E113" i="3"/>
  <c r="G104" i="3"/>
  <c r="F104" i="3"/>
  <c r="E104" i="3"/>
  <c r="F95" i="3"/>
  <c r="E95" i="3"/>
  <c r="G93" i="3"/>
  <c r="E90" i="3"/>
  <c r="F90" i="3"/>
  <c r="G81" i="3"/>
  <c r="F81" i="3"/>
  <c r="E81" i="3"/>
  <c r="F72" i="3"/>
  <c r="E72" i="3"/>
  <c r="G70" i="3"/>
  <c r="F67" i="3"/>
  <c r="E67" i="3"/>
  <c r="G58" i="3"/>
  <c r="F58" i="3"/>
  <c r="E58" i="3"/>
  <c r="F49" i="3"/>
  <c r="E49" i="3"/>
  <c r="G47" i="3"/>
  <c r="F44" i="3"/>
  <c r="E44" i="3"/>
  <c r="G36" i="3"/>
  <c r="F36" i="3"/>
  <c r="E36" i="3"/>
  <c r="E34" i="3"/>
  <c r="F27" i="3"/>
  <c r="E27" i="3"/>
  <c r="G20" i="3"/>
  <c r="G19" i="3"/>
  <c r="G18" i="3"/>
  <c r="G17" i="3"/>
  <c r="G16" i="3"/>
  <c r="G15" i="3"/>
  <c r="G14" i="3"/>
  <c r="G12" i="3"/>
  <c r="G209" i="2"/>
  <c r="G121" i="2"/>
  <c r="G96" i="2"/>
  <c r="G72" i="2"/>
  <c r="G281" i="2"/>
  <c r="F266" i="2"/>
  <c r="G265" i="2"/>
  <c r="G264" i="2"/>
  <c r="F273" i="2"/>
  <c r="F274" i="2"/>
  <c r="G256" i="2"/>
  <c r="G233" i="2"/>
  <c r="F201" i="2"/>
  <c r="G186" i="2"/>
  <c r="G144" i="2"/>
  <c r="G166" i="2"/>
  <c r="G211" i="8" l="1"/>
  <c r="G266" i="2"/>
  <c r="G193" i="5"/>
  <c r="G227" i="6"/>
  <c r="G250" i="7"/>
  <c r="G189" i="8"/>
  <c r="F71" i="8"/>
  <c r="F94" i="8"/>
  <c r="F49" i="8"/>
  <c r="G165" i="8"/>
  <c r="G119" i="8"/>
  <c r="G143" i="8"/>
  <c r="G94" i="8"/>
  <c r="G71" i="8"/>
  <c r="G43" i="8"/>
  <c r="G49" i="8" s="1"/>
  <c r="G21" i="8"/>
  <c r="G27" i="8" s="1"/>
  <c r="G108" i="7"/>
  <c r="G229" i="7"/>
  <c r="G210" i="7"/>
  <c r="G147" i="7"/>
  <c r="G187" i="7"/>
  <c r="G188" i="7" s="1"/>
  <c r="G126" i="7"/>
  <c r="G169" i="7"/>
  <c r="G89" i="7"/>
  <c r="G47" i="7"/>
  <c r="G69" i="7"/>
  <c r="G27" i="7"/>
  <c r="G189" i="6"/>
  <c r="G152" i="6"/>
  <c r="F177" i="6"/>
  <c r="G115" i="6"/>
  <c r="G73" i="6"/>
  <c r="G37" i="6"/>
  <c r="G53" i="6"/>
  <c r="G18" i="6"/>
  <c r="E43" i="6"/>
  <c r="F43" i="6"/>
  <c r="E177" i="6"/>
  <c r="E121" i="6"/>
  <c r="E83" i="6"/>
  <c r="E195" i="6"/>
  <c r="E233" i="6"/>
  <c r="F158" i="6"/>
  <c r="E102" i="6"/>
  <c r="F212" i="6"/>
  <c r="E24" i="6"/>
  <c r="G24" i="6" s="1"/>
  <c r="E63" i="6"/>
  <c r="G63" i="6" s="1"/>
  <c r="E140" i="6"/>
  <c r="E158" i="6"/>
  <c r="E212" i="6"/>
  <c r="F195" i="6"/>
  <c r="F140" i="6"/>
  <c r="G134" i="6"/>
  <c r="F121" i="6"/>
  <c r="F102" i="6"/>
  <c r="G96" i="6"/>
  <c r="G57" i="6"/>
  <c r="F140" i="5"/>
  <c r="G114" i="5"/>
  <c r="G134" i="5"/>
  <c r="F98" i="5"/>
  <c r="G73" i="5"/>
  <c r="F73" i="5"/>
  <c r="F79" i="5" s="1"/>
  <c r="G50" i="5"/>
  <c r="G52" i="5" s="1"/>
  <c r="E79" i="5"/>
  <c r="F120" i="5"/>
  <c r="E58" i="5"/>
  <c r="E140" i="5"/>
  <c r="E199" i="5"/>
  <c r="G199" i="5" s="1"/>
  <c r="E98" i="5"/>
  <c r="E241" i="5"/>
  <c r="E219" i="5"/>
  <c r="E120" i="5"/>
  <c r="E39" i="5"/>
  <c r="E161" i="5"/>
  <c r="E178" i="5"/>
  <c r="F39" i="5"/>
  <c r="G172" i="5"/>
  <c r="G33" i="5"/>
  <c r="F241" i="5"/>
  <c r="F219" i="5"/>
  <c r="F178" i="5"/>
  <c r="F161" i="5"/>
  <c r="F58" i="5"/>
  <c r="F22" i="5"/>
  <c r="G17" i="5"/>
  <c r="E22" i="5"/>
  <c r="F24" i="4"/>
  <c r="E24" i="4"/>
  <c r="G24" i="4" s="1"/>
  <c r="F186" i="4"/>
  <c r="G88" i="4"/>
  <c r="F64" i="4"/>
  <c r="F70" i="4" s="1"/>
  <c r="E90" i="4"/>
  <c r="F129" i="4"/>
  <c r="F150" i="4"/>
  <c r="E233" i="4"/>
  <c r="E70" i="4"/>
  <c r="G149" i="4"/>
  <c r="E171" i="4"/>
  <c r="G64" i="4"/>
  <c r="F90" i="4"/>
  <c r="G89" i="4"/>
  <c r="E212" i="4"/>
  <c r="G253" i="4"/>
  <c r="G191" i="4"/>
  <c r="G144" i="4"/>
  <c r="E110" i="4"/>
  <c r="F212" i="4"/>
  <c r="G232" i="4"/>
  <c r="E192" i="4"/>
  <c r="E49" i="4"/>
  <c r="E129" i="4"/>
  <c r="E150" i="4"/>
  <c r="F171" i="4"/>
  <c r="G170" i="4"/>
  <c r="E254" i="4"/>
  <c r="F254" i="4"/>
  <c r="G227" i="4"/>
  <c r="F233" i="4"/>
  <c r="G211" i="4"/>
  <c r="G206" i="4"/>
  <c r="F192" i="4"/>
  <c r="G165" i="4"/>
  <c r="G128" i="4"/>
  <c r="G123" i="4"/>
  <c r="F110" i="4"/>
  <c r="G109" i="4"/>
  <c r="G84" i="4"/>
  <c r="G69" i="4"/>
  <c r="G48" i="4"/>
  <c r="F49" i="4"/>
  <c r="G248" i="4"/>
  <c r="G102" i="4"/>
  <c r="G104" i="4" s="1"/>
  <c r="G184" i="4"/>
  <c r="G186" i="4" s="1"/>
  <c r="G274" i="3"/>
  <c r="F274" i="3"/>
  <c r="G260" i="3"/>
  <c r="G181" i="3"/>
  <c r="G95" i="3"/>
  <c r="G111" i="3"/>
  <c r="G113" i="3" s="1"/>
  <c r="F210" i="3"/>
  <c r="G279" i="3"/>
  <c r="F28" i="3"/>
  <c r="G67" i="3"/>
  <c r="G136" i="3"/>
  <c r="G186" i="3"/>
  <c r="G159" i="3"/>
  <c r="G27" i="3"/>
  <c r="G164" i="3"/>
  <c r="E50" i="3"/>
  <c r="E187" i="3"/>
  <c r="G209" i="3"/>
  <c r="E119" i="3"/>
  <c r="E165" i="3"/>
  <c r="G231" i="3"/>
  <c r="F50" i="3"/>
  <c r="E73" i="3"/>
  <c r="E142" i="3"/>
  <c r="E96" i="3"/>
  <c r="F165" i="3"/>
  <c r="G253" i="3"/>
  <c r="E280" i="3"/>
  <c r="G22" i="3"/>
  <c r="F280" i="3"/>
  <c r="F232" i="3"/>
  <c r="E232" i="3"/>
  <c r="E210" i="3"/>
  <c r="F187" i="3"/>
  <c r="F142" i="3"/>
  <c r="G141" i="3"/>
  <c r="F119" i="3"/>
  <c r="G118" i="3"/>
  <c r="F96" i="3"/>
  <c r="G72" i="3"/>
  <c r="F73" i="3"/>
  <c r="G49" i="3"/>
  <c r="E28" i="3"/>
  <c r="G28" i="3" s="1"/>
  <c r="G204" i="3"/>
  <c r="G44" i="3"/>
  <c r="G90" i="3"/>
  <c r="F117" i="2"/>
  <c r="E106" i="2"/>
  <c r="F106" i="2"/>
  <c r="G105" i="2"/>
  <c r="F89" i="2"/>
  <c r="F92" i="2" s="1"/>
  <c r="E68" i="2"/>
  <c r="F65" i="2"/>
  <c r="F68" i="2" s="1"/>
  <c r="G40" i="2"/>
  <c r="G41" i="2"/>
  <c r="G42" i="2"/>
  <c r="G43" i="2"/>
  <c r="E44" i="2"/>
  <c r="F39" i="2"/>
  <c r="F44" i="2" s="1"/>
  <c r="F22" i="2"/>
  <c r="G21" i="2"/>
  <c r="G20" i="2"/>
  <c r="F11" i="2"/>
  <c r="E11" i="2"/>
  <c r="G10" i="2"/>
  <c r="G11" i="2" s="1"/>
  <c r="E19" i="2"/>
  <c r="E22" i="2" s="1"/>
  <c r="F282" i="2"/>
  <c r="E282" i="2"/>
  <c r="G280" i="2"/>
  <c r="F277" i="2"/>
  <c r="E277" i="2"/>
  <c r="G276" i="2"/>
  <c r="G275" i="2"/>
  <c r="G274" i="2"/>
  <c r="G273" i="2"/>
  <c r="G272" i="2"/>
  <c r="G271" i="2"/>
  <c r="G270" i="2"/>
  <c r="G268" i="2"/>
  <c r="F268" i="2"/>
  <c r="E268" i="2"/>
  <c r="F257" i="2"/>
  <c r="E257" i="2"/>
  <c r="G255" i="2"/>
  <c r="F252" i="2"/>
  <c r="E252" i="2"/>
  <c r="G251" i="2"/>
  <c r="G250" i="2"/>
  <c r="G249" i="2"/>
  <c r="G248" i="2"/>
  <c r="G247" i="2"/>
  <c r="G246" i="2"/>
  <c r="G245" i="2"/>
  <c r="G243" i="2"/>
  <c r="F243" i="2"/>
  <c r="E243" i="2"/>
  <c r="E241" i="2"/>
  <c r="F234" i="2"/>
  <c r="E234" i="2"/>
  <c r="G232" i="2"/>
  <c r="F229" i="2"/>
  <c r="E229" i="2"/>
  <c r="G228" i="2"/>
  <c r="G227" i="2"/>
  <c r="G226" i="2"/>
  <c r="G225" i="2"/>
  <c r="G224" i="2"/>
  <c r="G223" i="2"/>
  <c r="G222" i="2"/>
  <c r="G220" i="2"/>
  <c r="F220" i="2"/>
  <c r="E220" i="2"/>
  <c r="E218" i="2"/>
  <c r="F218" i="2"/>
  <c r="F210" i="2"/>
  <c r="E210" i="2"/>
  <c r="G208" i="2"/>
  <c r="F205" i="2"/>
  <c r="E205" i="2"/>
  <c r="G204" i="2"/>
  <c r="G203" i="2"/>
  <c r="G202" i="2"/>
  <c r="G201" i="2"/>
  <c r="G200" i="2"/>
  <c r="G199" i="2"/>
  <c r="G198" i="2"/>
  <c r="G196" i="2"/>
  <c r="F196" i="2"/>
  <c r="E196" i="2"/>
  <c r="E194" i="2"/>
  <c r="F187" i="2"/>
  <c r="E187" i="2"/>
  <c r="G185" i="2"/>
  <c r="F182" i="2"/>
  <c r="E182" i="2"/>
  <c r="G181" i="2"/>
  <c r="G180" i="2"/>
  <c r="G179" i="2"/>
  <c r="G178" i="2"/>
  <c r="G176" i="2"/>
  <c r="F176" i="2"/>
  <c r="E176" i="2"/>
  <c r="F167" i="2"/>
  <c r="E167" i="2"/>
  <c r="G165" i="2"/>
  <c r="F162" i="2"/>
  <c r="E162" i="2"/>
  <c r="G161" i="2"/>
  <c r="G160" i="2"/>
  <c r="G159" i="2"/>
  <c r="G158" i="2"/>
  <c r="G157" i="2"/>
  <c r="G156" i="2"/>
  <c r="G154" i="2"/>
  <c r="F154" i="2"/>
  <c r="E154" i="2"/>
  <c r="F145" i="2"/>
  <c r="E145" i="2"/>
  <c r="G143" i="2"/>
  <c r="F140" i="2"/>
  <c r="E140" i="2"/>
  <c r="G139" i="2"/>
  <c r="G138" i="2"/>
  <c r="G137" i="2"/>
  <c r="G136" i="2"/>
  <c r="G135" i="2"/>
  <c r="G134" i="2"/>
  <c r="G133" i="2"/>
  <c r="G131" i="2"/>
  <c r="F131" i="2"/>
  <c r="E131" i="2"/>
  <c r="F122" i="2"/>
  <c r="E122" i="2"/>
  <c r="G120" i="2"/>
  <c r="E117" i="2"/>
  <c r="G116" i="2"/>
  <c r="G115" i="2"/>
  <c r="G114" i="2"/>
  <c r="G113" i="2"/>
  <c r="G112" i="2"/>
  <c r="G111" i="2"/>
  <c r="G110" i="2"/>
  <c r="G108" i="2"/>
  <c r="F108" i="2"/>
  <c r="E108" i="2"/>
  <c r="G104" i="2"/>
  <c r="F97" i="2"/>
  <c r="E97" i="2"/>
  <c r="G95" i="2"/>
  <c r="E92" i="2"/>
  <c r="G91" i="2"/>
  <c r="G90" i="2"/>
  <c r="G89" i="2"/>
  <c r="G88" i="2"/>
  <c r="G87" i="2"/>
  <c r="G86" i="2"/>
  <c r="G85" i="2"/>
  <c r="G83" i="2"/>
  <c r="F83" i="2"/>
  <c r="E83" i="2"/>
  <c r="F81" i="2"/>
  <c r="E81" i="2"/>
  <c r="G80" i="2"/>
  <c r="G81" i="2" s="1"/>
  <c r="F73" i="2"/>
  <c r="E73" i="2"/>
  <c r="G71" i="2"/>
  <c r="G64" i="2"/>
  <c r="G63" i="2"/>
  <c r="G61" i="2"/>
  <c r="G59" i="2"/>
  <c r="F59" i="2"/>
  <c r="E59" i="2"/>
  <c r="F57" i="2"/>
  <c r="E57" i="2"/>
  <c r="G56" i="2"/>
  <c r="G57" i="2" s="1"/>
  <c r="F49" i="2"/>
  <c r="E49" i="2"/>
  <c r="G48" i="2"/>
  <c r="G47" i="2"/>
  <c r="G38" i="2"/>
  <c r="G36" i="2"/>
  <c r="F36" i="2"/>
  <c r="E36" i="2"/>
  <c r="E34" i="2"/>
  <c r="F27" i="2"/>
  <c r="E27" i="2"/>
  <c r="G17" i="2"/>
  <c r="G16" i="2"/>
  <c r="G15" i="2"/>
  <c r="G13" i="2"/>
  <c r="F13" i="2"/>
  <c r="E13" i="2"/>
  <c r="G291" i="1"/>
  <c r="E292" i="1"/>
  <c r="F284" i="1"/>
  <c r="F292" i="1" s="1"/>
  <c r="F297" i="1"/>
  <c r="E297" i="1"/>
  <c r="G296" i="1"/>
  <c r="G295" i="1"/>
  <c r="G290" i="1"/>
  <c r="G289" i="1"/>
  <c r="G288" i="1"/>
  <c r="G287" i="1"/>
  <c r="G286" i="1"/>
  <c r="G285" i="1"/>
  <c r="G284" i="1"/>
  <c r="G282" i="1"/>
  <c r="F282" i="1"/>
  <c r="E282" i="1"/>
  <c r="G255" i="1"/>
  <c r="F253" i="1"/>
  <c r="F256" i="1" s="1"/>
  <c r="G254" i="1"/>
  <c r="F179" i="1"/>
  <c r="G178" i="1"/>
  <c r="F154" i="1"/>
  <c r="G153" i="1"/>
  <c r="F273" i="1"/>
  <c r="E273" i="1"/>
  <c r="G272" i="1"/>
  <c r="G271" i="1"/>
  <c r="F268" i="1"/>
  <c r="E268" i="1"/>
  <c r="G267" i="1"/>
  <c r="G266" i="1"/>
  <c r="G265" i="1"/>
  <c r="G264" i="1"/>
  <c r="G263" i="1"/>
  <c r="G262" i="1"/>
  <c r="G261" i="1"/>
  <c r="G260" i="1"/>
  <c r="G258" i="1"/>
  <c r="F258" i="1"/>
  <c r="E258" i="1"/>
  <c r="E256" i="1"/>
  <c r="F227" i="1"/>
  <c r="F228" i="1" s="1"/>
  <c r="F243" i="1"/>
  <c r="E243" i="1"/>
  <c r="G242" i="1"/>
  <c r="G243" i="1" s="1"/>
  <c r="F246" i="1"/>
  <c r="E246" i="1"/>
  <c r="G245" i="1"/>
  <c r="G244" i="1"/>
  <c r="F240" i="1"/>
  <c r="E240" i="1"/>
  <c r="G239" i="1"/>
  <c r="G238" i="1"/>
  <c r="G237" i="1"/>
  <c r="G236" i="1"/>
  <c r="G235" i="1"/>
  <c r="G234" i="1"/>
  <c r="G233" i="1"/>
  <c r="G232" i="1"/>
  <c r="G230" i="1"/>
  <c r="F230" i="1"/>
  <c r="E230" i="1"/>
  <c r="E228" i="1"/>
  <c r="F220" i="1"/>
  <c r="E220" i="1"/>
  <c r="G219" i="1"/>
  <c r="G218" i="1"/>
  <c r="F215" i="1"/>
  <c r="E215" i="1"/>
  <c r="G214" i="1"/>
  <c r="G213" i="1"/>
  <c r="G212" i="1"/>
  <c r="G211" i="1"/>
  <c r="G210" i="1"/>
  <c r="G209" i="1"/>
  <c r="G208" i="1"/>
  <c r="G207" i="1"/>
  <c r="G205" i="1"/>
  <c r="F205" i="1"/>
  <c r="E205" i="1"/>
  <c r="F203" i="1"/>
  <c r="E203" i="1"/>
  <c r="G202" i="1"/>
  <c r="G203" i="1" s="1"/>
  <c r="F195" i="1"/>
  <c r="E195" i="1"/>
  <c r="G194" i="1"/>
  <c r="G193" i="1"/>
  <c r="F190" i="1"/>
  <c r="E190" i="1"/>
  <c r="G189" i="1"/>
  <c r="G188" i="1"/>
  <c r="G187" i="1"/>
  <c r="G186" i="1"/>
  <c r="G185" i="1"/>
  <c r="G184" i="1"/>
  <c r="G183" i="1"/>
  <c r="G181" i="1"/>
  <c r="F181" i="1"/>
  <c r="E181" i="1"/>
  <c r="E179" i="1"/>
  <c r="G177" i="1"/>
  <c r="G179" i="1" s="1"/>
  <c r="F170" i="1"/>
  <c r="E170" i="1"/>
  <c r="G169" i="1"/>
  <c r="G168" i="1"/>
  <c r="E165" i="1"/>
  <c r="G164" i="1"/>
  <c r="G163" i="1"/>
  <c r="G162" i="1"/>
  <c r="G161" i="1"/>
  <c r="F165" i="1"/>
  <c r="G160" i="1"/>
  <c r="G159" i="1"/>
  <c r="G158" i="1"/>
  <c r="G156" i="1"/>
  <c r="F156" i="1"/>
  <c r="E156" i="1"/>
  <c r="E154" i="1"/>
  <c r="G152" i="1"/>
  <c r="F136" i="1"/>
  <c r="F140" i="1" s="1"/>
  <c r="F145" i="1"/>
  <c r="E145" i="1"/>
  <c r="G144" i="1"/>
  <c r="G143" i="1"/>
  <c r="E140" i="1"/>
  <c r="G139" i="1"/>
  <c r="G137" i="1"/>
  <c r="G135" i="1"/>
  <c r="G134" i="1"/>
  <c r="G133" i="1"/>
  <c r="G131" i="1"/>
  <c r="F131" i="1"/>
  <c r="E131" i="1"/>
  <c r="F97" i="1"/>
  <c r="F98" i="1" s="1"/>
  <c r="F115" i="1"/>
  <c r="G115" i="1" s="1"/>
  <c r="F122" i="1"/>
  <c r="E122" i="1"/>
  <c r="G121" i="1"/>
  <c r="G120" i="1"/>
  <c r="E117" i="1"/>
  <c r="G116" i="1"/>
  <c r="G114" i="1"/>
  <c r="G113" i="1"/>
  <c r="G112" i="1"/>
  <c r="G111" i="1"/>
  <c r="G110" i="1"/>
  <c r="G108" i="1"/>
  <c r="F108" i="1"/>
  <c r="E108" i="1"/>
  <c r="F106" i="1"/>
  <c r="E106" i="1"/>
  <c r="G105" i="1"/>
  <c r="G106" i="1" s="1"/>
  <c r="F43" i="1"/>
  <c r="E43" i="1"/>
  <c r="E68" i="1"/>
  <c r="G92" i="1"/>
  <c r="E93" i="1"/>
  <c r="F64" i="1"/>
  <c r="G64" i="1" s="1"/>
  <c r="F62" i="1"/>
  <c r="F87" i="1"/>
  <c r="F93" i="1" s="1"/>
  <c r="G63" i="1"/>
  <c r="E98" i="1"/>
  <c r="G96" i="1"/>
  <c r="G91" i="1"/>
  <c r="G90" i="1"/>
  <c r="G89" i="1"/>
  <c r="G88" i="1"/>
  <c r="G86" i="1"/>
  <c r="G85" i="1"/>
  <c r="G83" i="1"/>
  <c r="F83" i="1"/>
  <c r="E83" i="1"/>
  <c r="F81" i="1"/>
  <c r="E81" i="1"/>
  <c r="G80" i="1"/>
  <c r="G81" i="1" s="1"/>
  <c r="G72" i="1"/>
  <c r="G65" i="1"/>
  <c r="G67" i="1"/>
  <c r="G60" i="1"/>
  <c r="F66" i="1"/>
  <c r="G66" i="1" s="1"/>
  <c r="F61" i="1"/>
  <c r="G61" i="1" s="1"/>
  <c r="G47" i="1"/>
  <c r="G40" i="1"/>
  <c r="G41" i="1"/>
  <c r="G42" i="1"/>
  <c r="G39" i="1"/>
  <c r="F73" i="1"/>
  <c r="E73" i="1"/>
  <c r="G71" i="1"/>
  <c r="G58" i="1"/>
  <c r="F58" i="1"/>
  <c r="E58" i="1"/>
  <c r="F56" i="1"/>
  <c r="E56" i="1"/>
  <c r="G55" i="1"/>
  <c r="G56" i="1" s="1"/>
  <c r="F35" i="1"/>
  <c r="G34" i="1"/>
  <c r="G35" i="1" s="1"/>
  <c r="G16" i="1"/>
  <c r="G17" i="1"/>
  <c r="G18" i="1"/>
  <c r="G20" i="1"/>
  <c r="G21" i="1"/>
  <c r="G15" i="1"/>
  <c r="F48" i="1"/>
  <c r="E48" i="1"/>
  <c r="G46" i="1"/>
  <c r="G37" i="1"/>
  <c r="F37" i="1"/>
  <c r="E37" i="1"/>
  <c r="E35" i="1"/>
  <c r="E19" i="1"/>
  <c r="E22" i="1" s="1"/>
  <c r="E27" i="1"/>
  <c r="F11" i="1"/>
  <c r="E11" i="1"/>
  <c r="F22" i="1"/>
  <c r="G11" i="1"/>
  <c r="F13" i="1"/>
  <c r="E13" i="1"/>
  <c r="G13" i="1"/>
  <c r="G233" i="6" l="1"/>
  <c r="G43" i="6"/>
  <c r="G140" i="6"/>
  <c r="G121" i="6"/>
  <c r="G177" i="6"/>
  <c r="G83" i="6"/>
  <c r="G195" i="6"/>
  <c r="G158" i="6"/>
  <c r="G212" i="6"/>
  <c r="G102" i="6"/>
  <c r="G178" i="5"/>
  <c r="G58" i="5"/>
  <c r="G79" i="5"/>
  <c r="G98" i="5"/>
  <c r="G140" i="5"/>
  <c r="G219" i="5"/>
  <c r="G120" i="5"/>
  <c r="G39" i="5"/>
  <c r="G241" i="5"/>
  <c r="G161" i="5"/>
  <c r="G22" i="5"/>
  <c r="G192" i="4"/>
  <c r="G233" i="4"/>
  <c r="G70" i="4"/>
  <c r="G171" i="4"/>
  <c r="G90" i="4"/>
  <c r="G254" i="4"/>
  <c r="G129" i="4"/>
  <c r="G150" i="4"/>
  <c r="G212" i="4"/>
  <c r="G49" i="4"/>
  <c r="G110" i="4"/>
  <c r="G73" i="3"/>
  <c r="G210" i="3"/>
  <c r="G119" i="3"/>
  <c r="G142" i="3"/>
  <c r="G50" i="3"/>
  <c r="G187" i="3"/>
  <c r="G165" i="3"/>
  <c r="G96" i="3"/>
  <c r="G280" i="3"/>
  <c r="G232" i="3"/>
  <c r="G106" i="2"/>
  <c r="G117" i="2"/>
  <c r="G65" i="2"/>
  <c r="F50" i="2"/>
  <c r="G122" i="2"/>
  <c r="G39" i="2"/>
  <c r="G44" i="2" s="1"/>
  <c r="G167" i="2"/>
  <c r="E188" i="2"/>
  <c r="E28" i="2"/>
  <c r="G19" i="2"/>
  <c r="F146" i="2"/>
  <c r="G257" i="2"/>
  <c r="F28" i="2"/>
  <c r="E146" i="2"/>
  <c r="G182" i="2"/>
  <c r="F211" i="2"/>
  <c r="G210" i="2"/>
  <c r="F258" i="2"/>
  <c r="G27" i="2"/>
  <c r="E50" i="2"/>
  <c r="G50" i="2" s="1"/>
  <c r="F74" i="2"/>
  <c r="G277" i="2"/>
  <c r="G282" i="2"/>
  <c r="E211" i="2"/>
  <c r="F235" i="2"/>
  <c r="E258" i="2"/>
  <c r="E123" i="2"/>
  <c r="G73" i="2"/>
  <c r="E168" i="2"/>
  <c r="E235" i="2"/>
  <c r="E283" i="2"/>
  <c r="F283" i="2"/>
  <c r="G252" i="2"/>
  <c r="G234" i="2"/>
  <c r="G229" i="2"/>
  <c r="G205" i="2"/>
  <c r="G187" i="2"/>
  <c r="F188" i="2"/>
  <c r="G162" i="2"/>
  <c r="F168" i="2"/>
  <c r="G145" i="2"/>
  <c r="G140" i="2"/>
  <c r="F123" i="2"/>
  <c r="G97" i="2"/>
  <c r="E98" i="2"/>
  <c r="G92" i="2"/>
  <c r="F98" i="2"/>
  <c r="E74" i="2"/>
  <c r="G49" i="2"/>
  <c r="G18" i="2"/>
  <c r="G66" i="2"/>
  <c r="G217" i="2"/>
  <c r="G218" i="2" s="1"/>
  <c r="E298" i="1"/>
  <c r="G297" i="1"/>
  <c r="G292" i="1"/>
  <c r="F298" i="1"/>
  <c r="G253" i="1"/>
  <c r="G256" i="1" s="1"/>
  <c r="G154" i="1"/>
  <c r="F171" i="1"/>
  <c r="G273" i="1"/>
  <c r="G227" i="1"/>
  <c r="G228" i="1" s="1"/>
  <c r="F247" i="1"/>
  <c r="E274" i="1"/>
  <c r="G268" i="1"/>
  <c r="F274" i="1"/>
  <c r="G246" i="1"/>
  <c r="G240" i="1"/>
  <c r="E247" i="1"/>
  <c r="E221" i="1"/>
  <c r="F221" i="1"/>
  <c r="G220" i="1"/>
  <c r="G215" i="1"/>
  <c r="G195" i="1"/>
  <c r="F146" i="1"/>
  <c r="G190" i="1"/>
  <c r="F196" i="1"/>
  <c r="E196" i="1"/>
  <c r="G170" i="1"/>
  <c r="E171" i="1"/>
  <c r="G136" i="1"/>
  <c r="G165" i="1"/>
  <c r="G145" i="1"/>
  <c r="G97" i="1"/>
  <c r="E146" i="1"/>
  <c r="G138" i="1"/>
  <c r="G122" i="1"/>
  <c r="F68" i="1"/>
  <c r="F74" i="1" s="1"/>
  <c r="E123" i="1"/>
  <c r="G68" i="1"/>
  <c r="G87" i="1"/>
  <c r="G93" i="1" s="1"/>
  <c r="G117" i="1"/>
  <c r="F117" i="1"/>
  <c r="F123" i="1" s="1"/>
  <c r="G98" i="1"/>
  <c r="F49" i="1"/>
  <c r="E74" i="1"/>
  <c r="G43" i="1"/>
  <c r="E49" i="1"/>
  <c r="E99" i="1"/>
  <c r="F99" i="1"/>
  <c r="G19" i="1"/>
  <c r="G22" i="1" s="1"/>
  <c r="G73" i="1"/>
  <c r="G48" i="1"/>
  <c r="E28" i="1"/>
  <c r="F27" i="1"/>
  <c r="G27" i="1" s="1"/>
  <c r="G25" i="1"/>
  <c r="G68" i="2" l="1"/>
  <c r="G146" i="2"/>
  <c r="G22" i="2"/>
  <c r="G74" i="2"/>
  <c r="G188" i="2"/>
  <c r="G28" i="2"/>
  <c r="G211" i="2"/>
  <c r="G235" i="2"/>
  <c r="G123" i="2"/>
  <c r="G258" i="2"/>
  <c r="G98" i="2"/>
  <c r="G168" i="2"/>
  <c r="G283" i="2"/>
  <c r="G298" i="1"/>
  <c r="G274" i="1"/>
  <c r="G247" i="1"/>
  <c r="G221" i="1"/>
  <c r="G146" i="1"/>
  <c r="G196" i="1"/>
  <c r="G140" i="1"/>
  <c r="G171" i="1"/>
  <c r="G123" i="1"/>
  <c r="G74" i="1"/>
  <c r="G99" i="1"/>
  <c r="G49" i="1"/>
  <c r="F28" i="1"/>
  <c r="G28" i="1" s="1"/>
  <c r="G155" i="5"/>
</calcChain>
</file>

<file path=xl/sharedStrings.xml><?xml version="1.0" encoding="utf-8"?>
<sst xmlns="http://schemas.openxmlformats.org/spreadsheetml/2006/main" count="5721" uniqueCount="416">
  <si>
    <t>Folha de pagamento</t>
  </si>
  <si>
    <t>TOTAL</t>
  </si>
  <si>
    <t>Nº EMPENHO</t>
  </si>
  <si>
    <t>Repasse ao Funset</t>
  </si>
  <si>
    <t>3.1</t>
  </si>
  <si>
    <t>3.2</t>
  </si>
  <si>
    <t>3.3</t>
  </si>
  <si>
    <t>Locação de Motocicletas</t>
  </si>
  <si>
    <t>Tiraentulho Ltda EPP</t>
  </si>
  <si>
    <t>18028/2015</t>
  </si>
  <si>
    <t>Serviços de Processamento de Dados</t>
  </si>
  <si>
    <t>Prodesp</t>
  </si>
  <si>
    <t>13027/2015</t>
  </si>
  <si>
    <t>Tarifas Bancárias</t>
  </si>
  <si>
    <t>Débitos Bancários</t>
  </si>
  <si>
    <t>Locação Guinchos</t>
  </si>
  <si>
    <t>Fox Ambiental Loc e Imp Ltda ME</t>
  </si>
  <si>
    <t>461/2016</t>
  </si>
  <si>
    <t>3.4</t>
  </si>
  <si>
    <t>Fundo Nacional de Segurança e Educação de Trânsito</t>
  </si>
  <si>
    <t>738/2016</t>
  </si>
  <si>
    <t>1816/2016</t>
  </si>
  <si>
    <t>Subtotal</t>
  </si>
  <si>
    <t>3.5</t>
  </si>
  <si>
    <t>3.6</t>
  </si>
  <si>
    <t>3.7</t>
  </si>
  <si>
    <t>162/2015</t>
  </si>
  <si>
    <t>Item</t>
  </si>
  <si>
    <t xml:space="preserve">Descrição </t>
  </si>
  <si>
    <t xml:space="preserve">Empresa </t>
  </si>
  <si>
    <t xml:space="preserve">RELATÓRIO ANUAL </t>
  </si>
  <si>
    <t>-</t>
  </si>
  <si>
    <t>5.1</t>
  </si>
  <si>
    <t>Fonte: Sistema Contábil - SIFPM (Conam)</t>
  </si>
  <si>
    <t>DESPESAS REALIZADAS COM RECURSOS DE MULTAS DE TRÂNSITO</t>
  </si>
  <si>
    <t>MUNICÍPIO DA ESTÂNCIA BALNEÁRIA DE PRAIA GRANDE</t>
  </si>
  <si>
    <t>PERÍODO DE REFERÊNCIA : JANEIRO A DEZEMBRO DE 2013</t>
  </si>
  <si>
    <t>Restos a pagar Pagos em 2013</t>
  </si>
  <si>
    <t>Despesas Orçamentárias 2013</t>
  </si>
  <si>
    <t>Total Pagamentos 2013</t>
  </si>
  <si>
    <t>JANEIRO/2013</t>
  </si>
  <si>
    <t>3.8</t>
  </si>
  <si>
    <t>Expedição de notificação de autuação</t>
  </si>
  <si>
    <t>Empresa Brasileira de Correios e Telégrafos</t>
  </si>
  <si>
    <t>Aquisição de Uniformes</t>
  </si>
  <si>
    <t>Industria de Equip. de Segurança Mac LTDA</t>
  </si>
  <si>
    <t>Shaduca Praia Grande LTDA ME</t>
  </si>
  <si>
    <t>FEVEREIRO/2013</t>
  </si>
  <si>
    <t>1.1</t>
  </si>
  <si>
    <t>MARÇO/2013</t>
  </si>
  <si>
    <t>ABRIL/2013</t>
  </si>
  <si>
    <t>Locação de Lombadas eletrônicas</t>
  </si>
  <si>
    <t>Aquisição de Capacetes</t>
  </si>
  <si>
    <t>Copacabana Artefatos e Concretos LTDA</t>
  </si>
  <si>
    <t>MAIO/2013</t>
  </si>
  <si>
    <t>JUNHO/2013</t>
  </si>
  <si>
    <t>JULHO/2013</t>
  </si>
  <si>
    <t>AGOSTO/2013</t>
  </si>
  <si>
    <t>SETEMBRO/2013</t>
  </si>
  <si>
    <t>Aquisição de Capas para Coletes Balísticos</t>
  </si>
  <si>
    <t>Rubens Lourenço Brandalise Eireli EPP</t>
  </si>
  <si>
    <t>OUTUBRO/2013</t>
  </si>
  <si>
    <t>Raito Transportes LTDA</t>
  </si>
  <si>
    <t>Aquisição de Material de Sinalização Horizontal, Vertical e Semafórica</t>
  </si>
  <si>
    <t>Portal Sinalização Viária LTDA</t>
  </si>
  <si>
    <t>Galgo Com Roupas Tecidos e Armar LTDA</t>
  </si>
  <si>
    <t>4.1</t>
  </si>
  <si>
    <t>Aquisição de Material Educativo</t>
  </si>
  <si>
    <t>Murc Editora Gráfica Ltda</t>
  </si>
  <si>
    <t>NOVEMBRO/2013</t>
  </si>
  <si>
    <t>1.2</t>
  </si>
  <si>
    <t>1.3</t>
  </si>
  <si>
    <t>Aquisição de Materiais Elétricos</t>
  </si>
  <si>
    <t>Comercial Elétrica Modollo LTDA</t>
  </si>
  <si>
    <t>Folha de Pagamento</t>
  </si>
  <si>
    <t>Imprensa Oficial do Estado S.A.</t>
  </si>
  <si>
    <t>DEZEMBRO/2013</t>
  </si>
  <si>
    <t xml:space="preserve">Serviços de Publicação </t>
  </si>
  <si>
    <t>JARI</t>
  </si>
  <si>
    <t>Uniformes Campinas EIRELI EPP</t>
  </si>
  <si>
    <t>Sinalização - Código de Aplicação: 40000-02</t>
  </si>
  <si>
    <t>Engenharia de Trânsito - Código de Aplicação: 40000-02</t>
  </si>
  <si>
    <t>Policiamento e fiscalização - Código de Aplicação: 40000-02</t>
  </si>
  <si>
    <t>Educação de trânsito - Código de Aplicação: 40000-02</t>
  </si>
  <si>
    <t>Repasse de 5% ao Funset - Código de Aplicação: 40000-02</t>
  </si>
  <si>
    <t>Locação de Caminhões e Máquinas</t>
  </si>
  <si>
    <t>DCT Tecnologia e Serviços LTDA</t>
  </si>
  <si>
    <t>Viaserv Sinalização LTDA</t>
  </si>
  <si>
    <t>JANEIRO/2014</t>
  </si>
  <si>
    <t>Restos a pagar Pagos em 2014</t>
  </si>
  <si>
    <t>Despesas Orçamentárias 2014</t>
  </si>
  <si>
    <t>Total Pagamentos 2014</t>
  </si>
  <si>
    <t>PERÍODO DE REFERÊNCIA : JANEIRO A DEZEMBRO DE 2014</t>
  </si>
  <si>
    <t>FEVEREIRO/2014</t>
  </si>
  <si>
    <t>MARÇO/2014</t>
  </si>
  <si>
    <t>ABRIL/2014</t>
  </si>
  <si>
    <t>MAIO/2014</t>
  </si>
  <si>
    <t>JUNHO/2014</t>
  </si>
  <si>
    <t>JULHO/2014</t>
  </si>
  <si>
    <t>AGOSTO/2014</t>
  </si>
  <si>
    <t>SETEMBRO/2014</t>
  </si>
  <si>
    <t>OUTUBRO/2014</t>
  </si>
  <si>
    <t>NOVEMBRO/2014</t>
  </si>
  <si>
    <t>DEZEMBRO/2014</t>
  </si>
  <si>
    <t>Jari</t>
  </si>
  <si>
    <t>Aquisição de Peças para Manutenção de Viatura</t>
  </si>
  <si>
    <t>Raimundo Sabino Barbosa</t>
  </si>
  <si>
    <t>Serviços de Manutenção de Viatura</t>
  </si>
  <si>
    <t>Baicar Truck Center Ltda Me</t>
  </si>
  <si>
    <t>Manutenção de Placas Eletrônicas</t>
  </si>
  <si>
    <t>Tesc Sistemas de Controle LTDA</t>
  </si>
  <si>
    <t>Tiraentulho Amb. Gerenc. Resíduos LTDA</t>
  </si>
  <si>
    <t>Locação Mensal de Equip. Digitais de Radiocomunicação e Acessórios</t>
  </si>
  <si>
    <t>VHF Rádio Comunicações Comercial LTDA</t>
  </si>
  <si>
    <t>Aquisição de Material de Sinalização Viária</t>
  </si>
  <si>
    <t>Equipamentos de Trânsito para Sinalização</t>
  </si>
  <si>
    <t>PERÍODO DE REFERÊNCIA : JANEIRO A DEZEMBRO DE 2015</t>
  </si>
  <si>
    <t>Restos a pagar Pagos em 2015</t>
  </si>
  <si>
    <t>Despesas Orçamentárias 2015</t>
  </si>
  <si>
    <t>Total Pagamentos 2015</t>
  </si>
  <si>
    <t>JANEIRO/2015</t>
  </si>
  <si>
    <t>FEVEREIRO/2015</t>
  </si>
  <si>
    <t>MARÇO/2015</t>
  </si>
  <si>
    <t>ABRIL/2015</t>
  </si>
  <si>
    <t>MAIO/2015</t>
  </si>
  <si>
    <t>JUNHO/2015</t>
  </si>
  <si>
    <t>JULHO/2015</t>
  </si>
  <si>
    <t>AGOSTO/2015</t>
  </si>
  <si>
    <t>SETEMBRO/2015</t>
  </si>
  <si>
    <t>OUTUBRO/2015</t>
  </si>
  <si>
    <t>NOVEMBRO/2015</t>
  </si>
  <si>
    <t>DEZEMBRO/2015</t>
  </si>
  <si>
    <t>Locação de Veículos</t>
  </si>
  <si>
    <t>Auto Ricci S/A</t>
  </si>
  <si>
    <t>Portal Sinalização Viária Ltda</t>
  </si>
  <si>
    <t>Mavi Tintas e Sinalizadora LTDA EPP</t>
  </si>
  <si>
    <t>1.4</t>
  </si>
  <si>
    <t>Meng Engenharia Comércio e Indùstria Ltda</t>
  </si>
  <si>
    <t>Aquisição de Materiais para a Sinalização Semafórica</t>
  </si>
  <si>
    <t>Aquisição de Materiais para a Sinalização Horizontal</t>
  </si>
  <si>
    <t>Aquisição de Materiais para Sinalização</t>
  </si>
  <si>
    <t>Rodoeste Sinalização E Serviços LTDA - ME</t>
  </si>
  <si>
    <t xml:space="preserve">Aquisição de Materiais para a Sinalização </t>
  </si>
  <si>
    <t>Viaserv Sinalização LTDA EPP</t>
  </si>
  <si>
    <t>PERÍODO DE REFERÊNCIA : JANEIRO A DEZEMBRO DE 2016</t>
  </si>
  <si>
    <t>JANEIRO/2016</t>
  </si>
  <si>
    <t>FEVEREIRO/2016</t>
  </si>
  <si>
    <t>MARÇO/2016</t>
  </si>
  <si>
    <t>ABRIL/2016</t>
  </si>
  <si>
    <t>MAIO/2016</t>
  </si>
  <si>
    <t>JUNHO/2016</t>
  </si>
  <si>
    <t>JULHO/2016</t>
  </si>
  <si>
    <t>AGOSTO/2016</t>
  </si>
  <si>
    <t>SETEMBRO/2016</t>
  </si>
  <si>
    <t>OUTUBRO/2016</t>
  </si>
  <si>
    <t>NOVEMBRO/2016</t>
  </si>
  <si>
    <t>DEZEMBRO/2016</t>
  </si>
  <si>
    <t>Restos a pagar Pagos em 2016</t>
  </si>
  <si>
    <t>Despesas Orçamentárias 2016</t>
  </si>
  <si>
    <t>Total Pagamentos 2016</t>
  </si>
  <si>
    <t>13027/2016</t>
  </si>
  <si>
    <t>Locação Mensal de Motocicletas</t>
  </si>
  <si>
    <t>Tiraentulho LTDA EPP</t>
  </si>
  <si>
    <t>Locação de Guinchos</t>
  </si>
  <si>
    <t>Fox Ambiental Loc e Imp LTDA ME</t>
  </si>
  <si>
    <t>Curso de Condutores de Veículos de Emergência - Agentes de Trânsito</t>
  </si>
  <si>
    <t>SENAT Serv Nac de Aprendizagem do Transporte</t>
  </si>
  <si>
    <t>3.9</t>
  </si>
  <si>
    <t>PERÍODO DE REFERÊNCIA : JANEIRO A DEZEMBRO DE 2017</t>
  </si>
  <si>
    <t>JANEIRO/2017</t>
  </si>
  <si>
    <t>FEVEREIRO/2017</t>
  </si>
  <si>
    <t>MARÇO/2017</t>
  </si>
  <si>
    <t>ABRIL/2017</t>
  </si>
  <si>
    <t>MAIO/2017</t>
  </si>
  <si>
    <t>JUNHO/2017</t>
  </si>
  <si>
    <t>JULHO/2017</t>
  </si>
  <si>
    <t>AGOSTO/2017</t>
  </si>
  <si>
    <t>SETEMBRO/2017</t>
  </si>
  <si>
    <t>OUTUBRO/2017</t>
  </si>
  <si>
    <t>NOVEMBRO/2017</t>
  </si>
  <si>
    <t>DEZEMBRO/2017</t>
  </si>
  <si>
    <t>Restos a pagar Pagos em 2017</t>
  </si>
  <si>
    <t>Despesas Orçamentárias 2017</t>
  </si>
  <si>
    <t>Total Pagamentos 2017</t>
  </si>
  <si>
    <t>3.1.1</t>
  </si>
  <si>
    <t>3.1.2</t>
  </si>
  <si>
    <t>3.1.3</t>
  </si>
  <si>
    <t>Policiamento e fiscalização - Código de Aplicação: 45000-00</t>
  </si>
  <si>
    <t>3.2.1</t>
  </si>
  <si>
    <t>Banco do Brasil S/A</t>
  </si>
  <si>
    <t>Sinalização - Código de Aplicação: 41000-00</t>
  </si>
  <si>
    <t>Engenharia de Trânsito - Código de Aplicação: 43000-00</t>
  </si>
  <si>
    <t>Educação de trânsito - Código de Aplicação: 46000-00</t>
  </si>
  <si>
    <t>Repasse de 5% ao Funset - Código de Aplicação: 47000-00</t>
  </si>
  <si>
    <t>OCR - Coletor de Dados</t>
  </si>
  <si>
    <t>Multway Comércio e Representações LTDA</t>
  </si>
  <si>
    <t>3.1.4</t>
  </si>
  <si>
    <t>Aquisição de Licenças de Videomonitoramento e Alarme</t>
  </si>
  <si>
    <t>Peltier Comércio e Indústria LTDA</t>
  </si>
  <si>
    <t>3.2.2</t>
  </si>
  <si>
    <t>JANEIRO/2018</t>
  </si>
  <si>
    <t>FEVEREIRO/2018</t>
  </si>
  <si>
    <t>MARÇO/2018</t>
  </si>
  <si>
    <t>ABRIL/2018</t>
  </si>
  <si>
    <t>MAIO/2018</t>
  </si>
  <si>
    <t>JUNHO/2018</t>
  </si>
  <si>
    <t>JULHO/2018</t>
  </si>
  <si>
    <t>AGOSTO/2018</t>
  </si>
  <si>
    <t>SETEMBRO/2018</t>
  </si>
  <si>
    <t>OUTUBRO/2018</t>
  </si>
  <si>
    <t>NOVEMBRO/2018</t>
  </si>
  <si>
    <t>DEZEMBRO/2018</t>
  </si>
  <si>
    <t>PERÍODO DE REFERÊNCIA : JANEIRO A DEZEMBRO DE 2018</t>
  </si>
  <si>
    <t>Restos a pagar Pagos em 2018</t>
  </si>
  <si>
    <t>Despesas Orçamentárias 2018</t>
  </si>
  <si>
    <t>Total Pagamentos 2018</t>
  </si>
  <si>
    <t>Aquisição de Material para a Sinalização Horizontal</t>
  </si>
  <si>
    <t>locação de Motocicletas</t>
  </si>
  <si>
    <t>2.1</t>
  </si>
  <si>
    <t>Locação de Caminhões e Máquinas (SESURB)</t>
  </si>
  <si>
    <t>Construtora Fortex Eireli</t>
  </si>
  <si>
    <t>2.2</t>
  </si>
  <si>
    <t>Aquisição de Materiais para Pavimentação Asfaltica  (SESURB)</t>
  </si>
  <si>
    <t>Construtora Avante Litoral Eireli</t>
  </si>
  <si>
    <t>Soma Indústria e Comércio EIRELI</t>
  </si>
  <si>
    <t>Fornec. E Assent. de Piso Intertravado de Concreto (SESURB)</t>
  </si>
  <si>
    <t>JANEIRO/2019</t>
  </si>
  <si>
    <t>PERÍODO DE REFERÊNCIA : JANEIRO A DEZEMBRO DE 2019</t>
  </si>
  <si>
    <t>Craft Locações de Equipamentos EIRELI ME</t>
  </si>
  <si>
    <t>Indústria Técnica Hilário LTDA</t>
  </si>
  <si>
    <t>Manutenção da Máquina de Pintura</t>
  </si>
  <si>
    <t>Restos a pagar Pagos em 2019</t>
  </si>
  <si>
    <t>Despesas Orçamentárias 2019</t>
  </si>
  <si>
    <t>Total Pagamentos 2019</t>
  </si>
  <si>
    <t>Inoplastic Comercial LTDA ME</t>
  </si>
  <si>
    <t>Aquisição de Capacetes para Motociclistas</t>
  </si>
  <si>
    <t>Comercial Thialli LTDA ME</t>
  </si>
  <si>
    <t>FEVEREIRO/2019</t>
  </si>
  <si>
    <t>Aquisição de Materiais para a Sinalização Vertical</t>
  </si>
  <si>
    <t>MARÇO/2019</t>
  </si>
  <si>
    <t>Sinalisa Segurança Viária LTDA</t>
  </si>
  <si>
    <t>Aquisição e Instalação de Defensas Metálicas</t>
  </si>
  <si>
    <t>TDR Transportes e Serviços EIRELI ME</t>
  </si>
  <si>
    <t>Aquisição de Materiais para a Sinalização Viária</t>
  </si>
  <si>
    <t>Onix Extintores Comércio e Serviços LTDA</t>
  </si>
  <si>
    <t>ABRIL/2019</t>
  </si>
  <si>
    <t>Aquis. Mat. para a Sinaliz. Horiz.l c/ Fornec. e Aplicação</t>
  </si>
  <si>
    <t>Viaserv Sinalização Ltda EPP</t>
  </si>
  <si>
    <t>Khalifa Comercial EIRELI</t>
  </si>
  <si>
    <t>MAIO/2019</t>
  </si>
  <si>
    <t>JUNHO/2019</t>
  </si>
  <si>
    <t>Mongaguá Com e Serv em Licitação EIRELI</t>
  </si>
  <si>
    <t>Aquisição de Material para Sinalização Viária</t>
  </si>
  <si>
    <t>JULHO/2019</t>
  </si>
  <si>
    <t>Comercial Gonçalves Mad. E Mat. De Construção LTDA</t>
  </si>
  <si>
    <t>Aquisição de Material de Sinalização Vertical</t>
  </si>
  <si>
    <t>Locação de Lombadas Eletrônicas e Radares</t>
  </si>
  <si>
    <t>AGOSTO/2019</t>
  </si>
  <si>
    <t>A Moraes - ME</t>
  </si>
  <si>
    <t>Unifardas Com de Unif e Equip de Segu EIRELI</t>
  </si>
  <si>
    <t>Serviços de Sinalização Horizontal</t>
  </si>
  <si>
    <t>SETEMBRO/2019</t>
  </si>
  <si>
    <t>Consórcio Praia Grande Trânsito</t>
  </si>
  <si>
    <t>Construtora Mont Vale Eireli - ME</t>
  </si>
  <si>
    <t>Serviços de Pavimentação Asfástica</t>
  </si>
  <si>
    <t>OUTUBRO/2019</t>
  </si>
  <si>
    <t>Jokerman Non-Traditional Media S/S LTDA</t>
  </si>
  <si>
    <t xml:space="preserve">Aquisição de equipamentos e simulador de Realidade Virtual </t>
  </si>
  <si>
    <t>Campinas Military Defense Ltda - EPP</t>
  </si>
  <si>
    <t>NOVEMBRO/2019</t>
  </si>
  <si>
    <t>DEZEMBRO/2019</t>
  </si>
  <si>
    <t>JANEIRO/2020</t>
  </si>
  <si>
    <t>PERÍODO DE REFERÊNCIA : JANEIRO A DEZEMBRO DE 2020</t>
  </si>
  <si>
    <t>Comercial Gonçalves Mad. E Mat. De Const Ltda ME</t>
  </si>
  <si>
    <t>Viaser Sinalização Ltda - EPP</t>
  </si>
  <si>
    <t>Locação de Caminhões Guincho</t>
  </si>
  <si>
    <t>Restos a pagar Pagos em 2020</t>
  </si>
  <si>
    <t>Despesas Orçamentárias 2020</t>
  </si>
  <si>
    <t>Total Pagamentos 2020</t>
  </si>
  <si>
    <t>FEVEREIRO/2020</t>
  </si>
  <si>
    <t>Five-Build Engenharia LTDA</t>
  </si>
  <si>
    <t>MARÇO/2020</t>
  </si>
  <si>
    <t>AS1 Licitações Eireli</t>
  </si>
  <si>
    <t>ABRIL/2020</t>
  </si>
  <si>
    <t>Terra Sinalização Viária LTDA-EPP</t>
  </si>
  <si>
    <t>MAIO/2020</t>
  </si>
  <si>
    <t>Viaserv Sinalização LTDA - EPP</t>
  </si>
  <si>
    <t>Aquisição de Material para a Sinalização Viária</t>
  </si>
  <si>
    <t>Comercial Gonçalves Mad. e Mat. De Const. LTDA</t>
  </si>
  <si>
    <t>Terracom Construções LTDA</t>
  </si>
  <si>
    <t>Locação de Caminhões para a Pavimentação  Asfáltica</t>
  </si>
  <si>
    <t>JUNHO/2020</t>
  </si>
  <si>
    <t>Contratação de Serviços para a Sinalização Horizontal</t>
  </si>
  <si>
    <t>JULHO/2020</t>
  </si>
  <si>
    <t>AGOSTO/2020</t>
  </si>
  <si>
    <t>Sale Service Ind Com e Serv de Sinal Viária</t>
  </si>
  <si>
    <t>Porto Sinalização LTDA EPP</t>
  </si>
  <si>
    <t>Macterra Engenharia EIRELI</t>
  </si>
  <si>
    <t>Serviços de Manutenção de Ciclovia</t>
  </si>
  <si>
    <t>SETEMBRO/2020</t>
  </si>
  <si>
    <t>OUTUBRO/2020</t>
  </si>
  <si>
    <t>Onix Extintores Comércio e Serviços Ltda</t>
  </si>
  <si>
    <t>NOVEMBRO/2020</t>
  </si>
  <si>
    <t>DEZEMBRO/2020</t>
  </si>
  <si>
    <t>Khalifa Comercial e Imp de Equip Eireli</t>
  </si>
  <si>
    <t>Onix Praia Grande G. Com. De Equip. de Com. A In</t>
  </si>
  <si>
    <t>JANEIRO/2021</t>
  </si>
  <si>
    <t>PERÍODO DE REFERÊNCIA : JANEIRO A DEZEMBRO DE 2021</t>
  </si>
  <si>
    <t>Traffic Solutions Equip e Serv de Sinal LTDA</t>
  </si>
  <si>
    <t>Restos a pagar Pagos em 2021</t>
  </si>
  <si>
    <t>Despesas Orçamentárias 2021</t>
  </si>
  <si>
    <t>Total Pagamentos 2021</t>
  </si>
  <si>
    <t>FEVEREIRO/2021</t>
  </si>
  <si>
    <t xml:space="preserve">Aquisição de Materiais para a Sinalização Horizontal </t>
  </si>
  <si>
    <t>Sale Service Ind Com e Serv de Sinalização Viária</t>
  </si>
  <si>
    <t>MARÇO/2021</t>
  </si>
  <si>
    <t>ABRIL/2021</t>
  </si>
  <si>
    <t>Conectius do Brasil Ltda ME</t>
  </si>
  <si>
    <t>Banco Itaú S/A</t>
  </si>
  <si>
    <t>MAIO/2021</t>
  </si>
  <si>
    <t xml:space="preserve">Locação de Caminhões </t>
  </si>
  <si>
    <t>Craft Locações de Equipamentos Eireli ME</t>
  </si>
  <si>
    <t>JUNHO/2021</t>
  </si>
  <si>
    <t>Khalifa Comercial e Imp de Equipamentos EIRELI</t>
  </si>
  <si>
    <t>Banco Bradesco S/A</t>
  </si>
  <si>
    <t>Locação de Equipamentos de Comunicação</t>
  </si>
  <si>
    <t>Credicar Locadora de Veículos LTDA</t>
  </si>
  <si>
    <t>San Marco Automóveis Ltda</t>
  </si>
  <si>
    <t>JULHO/2021</t>
  </si>
  <si>
    <t xml:space="preserve"> </t>
  </si>
  <si>
    <t>Pira Sinal e Comercio de Materiais para Sinalização</t>
  </si>
  <si>
    <t>Locação Caminhões p/Sinalização Semafórica e Vertical</t>
  </si>
  <si>
    <t>Serviços de Processamento de Multas com Disponibilização de Software</t>
  </si>
  <si>
    <t>Paris Administração e Serviços LTDA</t>
  </si>
  <si>
    <t>AGOSTO/2021</t>
  </si>
  <si>
    <t>SETEMBRO/2021</t>
  </si>
  <si>
    <t>OUTUBRO/2021</t>
  </si>
  <si>
    <t>NOVEMBRO/2021</t>
  </si>
  <si>
    <t>Uniformes</t>
  </si>
  <si>
    <t>Vieiras Comercial Eiereli - EPP</t>
  </si>
  <si>
    <t>Central Semafórica</t>
  </si>
  <si>
    <t>NewTesc Tecnologia e Comércio Eirelli - EPP</t>
  </si>
  <si>
    <t>Locação de Caminhões para Sinalização de Tráfego</t>
  </si>
  <si>
    <t>Craft Locações de Equipamentos Eirelli - ME</t>
  </si>
  <si>
    <t>Citycar Alguel de Veículos S.A</t>
  </si>
  <si>
    <t>DEZEMBRO/2021</t>
  </si>
  <si>
    <t>BGF Com de Confecções e Calçados LTDA</t>
  </si>
  <si>
    <t>TMK Engenharia S.A.</t>
  </si>
  <si>
    <t>Locação de Caminhões para a Pavimentação Asfáltica</t>
  </si>
  <si>
    <t>Foccus Gerenciamento de Resíduos Eireli</t>
  </si>
  <si>
    <t>Craft Locações de Equipamentos Eireli - ME</t>
  </si>
  <si>
    <t>NewTesc Tecnologia e Comércio Eireli - EPP</t>
  </si>
  <si>
    <t>Material para a Pavimentação Asfáltica</t>
  </si>
  <si>
    <t>3.10</t>
  </si>
  <si>
    <t>TB Serv Transp Limp Gerenc e Recursos Humanos</t>
  </si>
  <si>
    <t>PERÍODO DE REFERÊNCIA : JANEIRO A DEZEMBRO DE 2022</t>
  </si>
  <si>
    <t>JANEIRO/2022</t>
  </si>
  <si>
    <t>Restos a pagar Pagos em 2022</t>
  </si>
  <si>
    <t>Despesas Orçamentárias Pagas - 2022</t>
  </si>
  <si>
    <t>Total Pagamentos 2022</t>
  </si>
  <si>
    <t>Aquisição de Controladores Semafóricos</t>
  </si>
  <si>
    <t>Credicar Locadora de Veículos Ltda</t>
  </si>
  <si>
    <t>FEVEREIRO/2022</t>
  </si>
  <si>
    <t>Citycar Aluguel de Veículos Ltda</t>
  </si>
  <si>
    <t>MARÇO/2022</t>
  </si>
  <si>
    <t>Probrasil Indústria e Comércio Eireli</t>
  </si>
  <si>
    <t>ABRIL/2022</t>
  </si>
  <si>
    <t>MAIO/2022</t>
  </si>
  <si>
    <t>Comercial Thialli Ltda EPP</t>
  </si>
  <si>
    <t>Acessórios Operacionais de Trânsito</t>
  </si>
  <si>
    <t>JUNHO/2022</t>
  </si>
  <si>
    <t>O. Filizzola e Cia. Ltda EPP</t>
  </si>
  <si>
    <t>JULHO/2022</t>
  </si>
  <si>
    <t>Muve Locadora Ltda</t>
  </si>
  <si>
    <t>Citycar Aluguel de Veículos S.A.</t>
  </si>
  <si>
    <t>TOTAL/2021</t>
  </si>
  <si>
    <t>2.3</t>
  </si>
  <si>
    <t>AGOSTO/2022</t>
  </si>
  <si>
    <t>Máquinas e Caminhões p/ a Pavimentação Asfáltica</t>
  </si>
  <si>
    <t>TMK Engenharia S.A</t>
  </si>
  <si>
    <t>SETEMBRO/2022</t>
  </si>
  <si>
    <t>3.20</t>
  </si>
  <si>
    <t>Metropolitana Usina de Reciclagem Ltda</t>
  </si>
  <si>
    <t xml:space="preserve">Fornecimento de Concreto para Manutenção da Avenida Marginal </t>
  </si>
  <si>
    <t>OUTUBRO/2022</t>
  </si>
  <si>
    <t>NOVEMBRO/2022</t>
  </si>
  <si>
    <t>DEZEMBRO/2022</t>
  </si>
  <si>
    <t>JANEIRO/2023</t>
  </si>
  <si>
    <t>Restos a pagar Pagos em 2023</t>
  </si>
  <si>
    <t>Despesas Orçamentárias Pagas - 2023</t>
  </si>
  <si>
    <t>Total Pagamentos 2023</t>
  </si>
  <si>
    <t>FEVEREIRO/2023</t>
  </si>
  <si>
    <t>MARÇO/2023</t>
  </si>
  <si>
    <t>Indaseg Confecções de Uniformes Eireli</t>
  </si>
  <si>
    <t>RELATÓRIO MENSAL</t>
  </si>
  <si>
    <t>ABRIL/2023</t>
  </si>
  <si>
    <t>MAIO/2023</t>
  </si>
  <si>
    <t>JUNHO/2023</t>
  </si>
  <si>
    <t>JULHO/2023</t>
  </si>
  <si>
    <t>AGOSTO/2023</t>
  </si>
  <si>
    <t>Material de Sinalização</t>
  </si>
  <si>
    <t>G8 ARMARINHOS - EPP</t>
  </si>
  <si>
    <t>Pavisan Construções Ltda</t>
  </si>
  <si>
    <t>SETEMBRO/2023</t>
  </si>
  <si>
    <t>Localiza Veiculos Especiais S.A.</t>
  </si>
  <si>
    <t>OUTUBRO/2023</t>
  </si>
  <si>
    <t>Comercial Vila Sônia Ltda</t>
  </si>
  <si>
    <t>Brasil Sinalização Ltda -ME</t>
  </si>
  <si>
    <t>Material de Educação</t>
  </si>
  <si>
    <t>Edir Sussel &amp; Cia Ltda.</t>
  </si>
  <si>
    <t>4.2</t>
  </si>
  <si>
    <t>R.M.P. de Souza Trofeus</t>
  </si>
  <si>
    <t>NOVEMBRO/2023</t>
  </si>
  <si>
    <t>DEZEMBRO/2023</t>
  </si>
  <si>
    <t>Locação de Rádios</t>
  </si>
  <si>
    <t>VHF Radio Comunicações Comercial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</si>
</sst>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4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3" fontId="0" fillId="0" borderId="0" xfId="2" applyFont="1"/>
    <xf numFmtId="0" fontId="8" fillId="0" borderId="0" xfId="0" applyFont="1" applyAlignment="1">
      <alignment horizontal="center"/>
    </xf>
    <xf numFmtId="0" fontId="0" fillId="3" borderId="0" xfId="0" applyFill="1"/>
    <xf numFmtId="44" fontId="7" fillId="5" borderId="0" xfId="1" applyFont="1" applyFill="1" applyBorder="1" applyAlignment="1">
      <alignment horizontal="center" vertical="center"/>
    </xf>
    <xf numFmtId="44" fontId="7" fillId="5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vertical="center"/>
    </xf>
    <xf numFmtId="44" fontId="5" fillId="6" borderId="4" xfId="0" applyNumberFormat="1" applyFont="1" applyFill="1" applyBorder="1" applyAlignment="1">
      <alignment vertical="center"/>
    </xf>
    <xf numFmtId="44" fontId="6" fillId="6" borderId="4" xfId="1" applyFont="1" applyFill="1" applyBorder="1" applyAlignment="1">
      <alignment horizontal="center" vertical="center"/>
    </xf>
    <xf numFmtId="44" fontId="5" fillId="6" borderId="4" xfId="1" applyFont="1" applyFill="1" applyBorder="1" applyAlignment="1">
      <alignment vertical="center"/>
    </xf>
    <xf numFmtId="44" fontId="2" fillId="6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44" fontId="4" fillId="2" borderId="4" xfId="1" applyFont="1" applyFill="1" applyBorder="1" applyAlignment="1">
      <alignment horizontal="center" vertical="center"/>
    </xf>
    <xf numFmtId="44" fontId="4" fillId="2" borderId="4" xfId="1" applyFont="1" applyFill="1" applyBorder="1" applyAlignment="1">
      <alignment vertical="center"/>
    </xf>
    <xf numFmtId="44" fontId="3" fillId="2" borderId="4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44" fontId="4" fillId="3" borderId="4" xfId="1" applyFont="1" applyFill="1" applyBorder="1" applyAlignment="1">
      <alignment horizontal="center" vertical="center"/>
    </xf>
    <xf numFmtId="44" fontId="4" fillId="3" borderId="4" xfId="1" applyFont="1" applyFill="1" applyBorder="1" applyAlignment="1">
      <alignment vertical="center"/>
    </xf>
    <xf numFmtId="44" fontId="3" fillId="3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left" vertical="center"/>
    </xf>
    <xf numFmtId="44" fontId="9" fillId="4" borderId="4" xfId="1" applyFont="1" applyFill="1" applyBorder="1" applyAlignment="1">
      <alignment horizontal="center" vertical="center"/>
    </xf>
    <xf numFmtId="44" fontId="9" fillId="4" borderId="4" xfId="1" applyFont="1" applyFill="1" applyBorder="1" applyAlignment="1">
      <alignment vertical="center"/>
    </xf>
    <xf numFmtId="44" fontId="2" fillId="4" borderId="4" xfId="1" applyFont="1" applyFill="1" applyBorder="1" applyAlignment="1">
      <alignment horizontal="center" vertical="center"/>
    </xf>
    <xf numFmtId="44" fontId="7" fillId="5" borderId="4" xfId="1" applyFont="1" applyFill="1" applyBorder="1" applyAlignment="1">
      <alignment horizontal="center" vertical="center"/>
    </xf>
    <xf numFmtId="44" fontId="7" fillId="5" borderId="4" xfId="1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44" fontId="3" fillId="2" borderId="4" xfId="1" applyFont="1" applyFill="1" applyBorder="1" applyAlignment="1">
      <alignment horizontal="left" vertical="center"/>
    </xf>
    <xf numFmtId="44" fontId="3" fillId="2" borderId="4" xfId="0" applyNumberFormat="1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left" vertical="center"/>
    </xf>
    <xf numFmtId="44" fontId="11" fillId="3" borderId="4" xfId="1" applyFont="1" applyFill="1" applyBorder="1" applyAlignment="1">
      <alignment horizontal="center" vertical="center"/>
    </xf>
    <xf numFmtId="44" fontId="11" fillId="3" borderId="4" xfId="1" applyFont="1" applyFill="1" applyBorder="1" applyAlignment="1">
      <alignment vertical="center"/>
    </xf>
    <xf numFmtId="44" fontId="2" fillId="2" borderId="4" xfId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44" fontId="4" fillId="0" borderId="4" xfId="1" applyFont="1" applyFill="1" applyBorder="1" applyAlignment="1">
      <alignment horizontal="center" vertical="center"/>
    </xf>
    <xf numFmtId="44" fontId="4" fillId="0" borderId="4" xfId="1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44" fontId="2" fillId="3" borderId="4" xfId="1" applyFont="1" applyFill="1" applyBorder="1" applyAlignment="1">
      <alignment horizontal="left" vertical="center"/>
    </xf>
    <xf numFmtId="44" fontId="3" fillId="3" borderId="4" xfId="1" applyFont="1" applyFill="1" applyBorder="1" applyAlignment="1">
      <alignment horizontal="left" vertical="center"/>
    </xf>
    <xf numFmtId="44" fontId="3" fillId="3" borderId="4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44" fontId="3" fillId="0" borderId="4" xfId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44" fontId="11" fillId="2" borderId="4" xfId="1" applyFont="1" applyFill="1" applyBorder="1" applyAlignment="1">
      <alignment horizontal="center" vertical="center"/>
    </xf>
    <xf numFmtId="44" fontId="11" fillId="2" borderId="4" xfId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0" fillId="2" borderId="0" xfId="0" applyFill="1"/>
    <xf numFmtId="0" fontId="3" fillId="2" borderId="4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4" fontId="5" fillId="6" borderId="4" xfId="0" applyNumberFormat="1" applyFont="1" applyFill="1" applyBorder="1" applyAlignment="1">
      <alignment horizontal="center" vertical="center"/>
    </xf>
    <xf numFmtId="44" fontId="5" fillId="6" borderId="4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4" fontId="9" fillId="6" borderId="4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3" fontId="0" fillId="0" borderId="0" xfId="0" applyNumberFormat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3" fillId="3" borderId="4" xfId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 wrapText="1"/>
    </xf>
    <xf numFmtId="44" fontId="5" fillId="6" borderId="4" xfId="0" applyNumberFormat="1" applyFont="1" applyFill="1" applyBorder="1" applyAlignment="1">
      <alignment horizontal="center" vertical="center" wrapText="1"/>
    </xf>
    <xf numFmtId="44" fontId="6" fillId="6" borderId="4" xfId="1" applyFont="1" applyFill="1" applyBorder="1" applyAlignment="1">
      <alignment horizontal="center" vertical="center" wrapText="1"/>
    </xf>
    <xf numFmtId="44" fontId="7" fillId="5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4" fontId="3" fillId="0" borderId="4" xfId="0" applyNumberFormat="1" applyFont="1" applyFill="1" applyBorder="1" applyAlignment="1">
      <alignment horizontal="left" vertical="center" wrapText="1"/>
    </xf>
    <xf numFmtId="44" fontId="0" fillId="0" borderId="4" xfId="0" applyNumberFormat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6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9" fontId="10" fillId="5" borderId="4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/>
    </xf>
    <xf numFmtId="49" fontId="10" fillId="5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3" borderId="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49" fontId="10" fillId="5" borderId="3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showGridLines="0" topLeftCell="A99" workbookViewId="0">
      <selection activeCell="G99" sqref="G99"/>
    </sheetView>
  </sheetViews>
  <sheetFormatPr defaultRowHeight="15" x14ac:dyDescent="0.25"/>
  <cols>
    <col min="1" max="1" width="4.7109375" style="1" bestFit="1" customWidth="1"/>
    <col min="2" max="2" width="57.140625" customWidth="1"/>
    <col min="3" max="3" width="44" style="2" bestFit="1" customWidth="1"/>
    <col min="4" max="4" width="14" style="1" hidden="1" customWidth="1"/>
    <col min="5" max="5" width="14.140625" bestFit="1" customWidth="1"/>
    <col min="6" max="7" width="15.140625" bestFit="1" customWidth="1"/>
    <col min="8" max="8" width="11.140625" customWidth="1"/>
    <col min="9" max="10" width="13.28515625" bestFit="1" customWidth="1"/>
    <col min="11" max="12" width="11.5703125" bestFit="1" customWidth="1"/>
  </cols>
  <sheetData>
    <row r="1" spans="1:7" s="1" customFormat="1" x14ac:dyDescent="0.25">
      <c r="C1" s="2"/>
    </row>
    <row r="2" spans="1:7" s="1" customFormat="1" x14ac:dyDescent="0.25">
      <c r="C2" s="2"/>
    </row>
    <row r="3" spans="1:7" s="1" customFormat="1" ht="15.75" x14ac:dyDescent="0.25">
      <c r="A3" s="265" t="s">
        <v>35</v>
      </c>
      <c r="B3" s="265"/>
      <c r="C3" s="265"/>
      <c r="D3" s="265"/>
      <c r="E3" s="265"/>
      <c r="F3" s="265"/>
      <c r="G3" s="265"/>
    </row>
    <row r="4" spans="1:7" s="1" customFormat="1" ht="15.75" x14ac:dyDescent="0.25">
      <c r="A4" s="265" t="s">
        <v>34</v>
      </c>
      <c r="B4" s="265"/>
      <c r="C4" s="265"/>
      <c r="D4" s="265"/>
      <c r="E4" s="265"/>
      <c r="F4" s="265"/>
      <c r="G4" s="265"/>
    </row>
    <row r="5" spans="1:7" s="1" customFormat="1" ht="15.75" x14ac:dyDescent="0.25">
      <c r="A5" s="3"/>
      <c r="B5" s="265" t="s">
        <v>30</v>
      </c>
      <c r="C5" s="265"/>
      <c r="D5" s="265"/>
      <c r="E5" s="265"/>
      <c r="F5" s="265"/>
      <c r="G5" s="265"/>
    </row>
    <row r="6" spans="1:7" s="1" customFormat="1" ht="15.75" x14ac:dyDescent="0.25">
      <c r="A6" s="265" t="s">
        <v>36</v>
      </c>
      <c r="B6" s="265"/>
      <c r="C6" s="265"/>
      <c r="D6" s="265"/>
      <c r="E6" s="265"/>
      <c r="F6" s="265"/>
      <c r="G6" s="265"/>
    </row>
    <row r="7" spans="1:7" s="1" customFormat="1" ht="15.75" x14ac:dyDescent="0.25">
      <c r="A7" s="4"/>
      <c r="B7" s="4"/>
      <c r="C7" s="4"/>
      <c r="D7" s="4"/>
      <c r="E7" s="4"/>
      <c r="F7" s="4"/>
      <c r="G7" s="4"/>
    </row>
    <row r="8" spans="1:7" x14ac:dyDescent="0.25">
      <c r="A8" s="258" t="s">
        <v>40</v>
      </c>
      <c r="B8" s="258"/>
      <c r="C8" s="258"/>
      <c r="D8" s="258"/>
      <c r="E8" s="258"/>
      <c r="F8" s="258"/>
      <c r="G8" s="258"/>
    </row>
    <row r="9" spans="1:7" ht="38.25" x14ac:dyDescent="0.25">
      <c r="A9" s="13" t="s">
        <v>27</v>
      </c>
      <c r="B9" s="13" t="s">
        <v>28</v>
      </c>
      <c r="C9" s="13" t="s">
        <v>29</v>
      </c>
      <c r="D9" s="13" t="s">
        <v>2</v>
      </c>
      <c r="E9" s="14" t="s">
        <v>37</v>
      </c>
      <c r="F9" s="14" t="s">
        <v>38</v>
      </c>
      <c r="G9" s="14" t="s">
        <v>39</v>
      </c>
    </row>
    <row r="10" spans="1:7" x14ac:dyDescent="0.25">
      <c r="A10" s="15">
        <v>1</v>
      </c>
      <c r="B10" s="254" t="s">
        <v>80</v>
      </c>
      <c r="C10" s="254"/>
      <c r="D10" s="254"/>
      <c r="E10" s="254"/>
      <c r="F10" s="254"/>
      <c r="G10" s="254"/>
    </row>
    <row r="11" spans="1:7" s="1" customFormat="1" x14ac:dyDescent="0.25">
      <c r="A11" s="253" t="s">
        <v>22</v>
      </c>
      <c r="B11" s="253"/>
      <c r="C11" s="253"/>
      <c r="D11" s="16"/>
      <c r="E11" s="17">
        <f>0</f>
        <v>0</v>
      </c>
      <c r="F11" s="17">
        <f>0</f>
        <v>0</v>
      </c>
      <c r="G11" s="18">
        <f>SUM(G10:G10)</f>
        <v>0</v>
      </c>
    </row>
    <row r="12" spans="1:7" x14ac:dyDescent="0.25">
      <c r="A12" s="15">
        <v>2</v>
      </c>
      <c r="B12" s="254" t="s">
        <v>81</v>
      </c>
      <c r="C12" s="254"/>
      <c r="D12" s="254"/>
      <c r="E12" s="254"/>
      <c r="F12" s="254"/>
      <c r="G12" s="254"/>
    </row>
    <row r="13" spans="1:7" s="1" customFormat="1" x14ac:dyDescent="0.25">
      <c r="A13" s="253" t="s">
        <v>22</v>
      </c>
      <c r="B13" s="253"/>
      <c r="C13" s="253"/>
      <c r="D13" s="16"/>
      <c r="E13" s="19">
        <f>0</f>
        <v>0</v>
      </c>
      <c r="F13" s="19">
        <f>0</f>
        <v>0</v>
      </c>
      <c r="G13" s="20">
        <f>G12</f>
        <v>0</v>
      </c>
    </row>
    <row r="14" spans="1:7" x14ac:dyDescent="0.25">
      <c r="A14" s="15">
        <v>3</v>
      </c>
      <c r="B14" s="254" t="s">
        <v>82</v>
      </c>
      <c r="C14" s="254"/>
      <c r="D14" s="254"/>
      <c r="E14" s="254"/>
      <c r="F14" s="254"/>
      <c r="G14" s="254"/>
    </row>
    <row r="15" spans="1:7" s="1" customFormat="1" x14ac:dyDescent="0.25">
      <c r="A15" s="21" t="s">
        <v>4</v>
      </c>
      <c r="B15" s="22" t="s">
        <v>15</v>
      </c>
      <c r="C15" s="22" t="s">
        <v>16</v>
      </c>
      <c r="D15" s="21" t="s">
        <v>17</v>
      </c>
      <c r="E15" s="23">
        <v>37440</v>
      </c>
      <c r="F15" s="24">
        <v>0</v>
      </c>
      <c r="G15" s="25">
        <f>SUM(E15:F15)</f>
        <v>37440</v>
      </c>
    </row>
    <row r="16" spans="1:7" s="7" customFormat="1" x14ac:dyDescent="0.25">
      <c r="A16" s="256" t="s">
        <v>5</v>
      </c>
      <c r="B16" s="257" t="s">
        <v>44</v>
      </c>
      <c r="C16" s="26" t="s">
        <v>45</v>
      </c>
      <c r="D16" s="27"/>
      <c r="E16" s="28">
        <v>4800</v>
      </c>
      <c r="F16" s="29">
        <v>0</v>
      </c>
      <c r="G16" s="30">
        <f t="shared" ref="G16:G21" si="0">SUM(E16:F16)</f>
        <v>4800</v>
      </c>
    </row>
    <row r="17" spans="1:12" s="7" customFormat="1" x14ac:dyDescent="0.25">
      <c r="A17" s="256"/>
      <c r="B17" s="257"/>
      <c r="C17" s="26" t="s">
        <v>46</v>
      </c>
      <c r="D17" s="27"/>
      <c r="E17" s="28">
        <v>4500</v>
      </c>
      <c r="F17" s="29">
        <v>0</v>
      </c>
      <c r="G17" s="30">
        <f t="shared" si="0"/>
        <v>4500</v>
      </c>
    </row>
    <row r="18" spans="1:12" s="1" customFormat="1" x14ac:dyDescent="0.25">
      <c r="A18" s="261" t="s">
        <v>6</v>
      </c>
      <c r="B18" s="260" t="s">
        <v>10</v>
      </c>
      <c r="C18" s="22" t="s">
        <v>11</v>
      </c>
      <c r="D18" s="21" t="s">
        <v>20</v>
      </c>
      <c r="E18" s="23">
        <v>0</v>
      </c>
      <c r="F18" s="24">
        <v>0</v>
      </c>
      <c r="G18" s="25">
        <f t="shared" si="0"/>
        <v>0</v>
      </c>
      <c r="J18" s="5"/>
    </row>
    <row r="19" spans="1:12" s="1" customFormat="1" x14ac:dyDescent="0.25">
      <c r="A19" s="261"/>
      <c r="B19" s="260"/>
      <c r="C19" s="22" t="s">
        <v>86</v>
      </c>
      <c r="D19" s="21"/>
      <c r="E19" s="23">
        <f>18920.07+71307.51</f>
        <v>90227.579999999987</v>
      </c>
      <c r="F19" s="24">
        <v>0</v>
      </c>
      <c r="G19" s="25">
        <f t="shared" si="0"/>
        <v>90227.579999999987</v>
      </c>
      <c r="J19" s="5"/>
    </row>
    <row r="20" spans="1:12" s="7" customFormat="1" x14ac:dyDescent="0.25">
      <c r="A20" s="27" t="s">
        <v>18</v>
      </c>
      <c r="B20" s="33" t="s">
        <v>0</v>
      </c>
      <c r="C20" s="26" t="s">
        <v>74</v>
      </c>
      <c r="D20" s="27"/>
      <c r="E20" s="28">
        <v>1623.2</v>
      </c>
      <c r="F20" s="29">
        <v>209942.71</v>
      </c>
      <c r="G20" s="30">
        <f t="shared" si="0"/>
        <v>211565.91</v>
      </c>
    </row>
    <row r="21" spans="1:12" s="1" customFormat="1" x14ac:dyDescent="0.25">
      <c r="A21" s="21" t="s">
        <v>23</v>
      </c>
      <c r="B21" s="34" t="s">
        <v>42</v>
      </c>
      <c r="C21" s="22" t="s">
        <v>43</v>
      </c>
      <c r="D21" s="21"/>
      <c r="E21" s="23">
        <v>42156</v>
      </c>
      <c r="F21" s="24">
        <v>0</v>
      </c>
      <c r="G21" s="25">
        <f t="shared" si="0"/>
        <v>42156</v>
      </c>
    </row>
    <row r="22" spans="1:12" s="1" customFormat="1" x14ac:dyDescent="0.25">
      <c r="A22" s="253" t="s">
        <v>22</v>
      </c>
      <c r="B22" s="253"/>
      <c r="C22" s="253"/>
      <c r="D22" s="16"/>
      <c r="E22" s="17">
        <f>SUM(E15:E20)</f>
        <v>138590.78</v>
      </c>
      <c r="F22" s="17">
        <f>SUM(F15:F20)</f>
        <v>209942.71</v>
      </c>
      <c r="G22" s="18">
        <f>SUM(G14:G20)</f>
        <v>348533.49</v>
      </c>
    </row>
    <row r="23" spans="1:12" x14ac:dyDescent="0.25">
      <c r="A23" s="15">
        <v>4</v>
      </c>
      <c r="B23" s="254" t="s">
        <v>83</v>
      </c>
      <c r="C23" s="254"/>
      <c r="D23" s="254"/>
      <c r="E23" s="254"/>
      <c r="F23" s="254"/>
      <c r="G23" s="254"/>
    </row>
    <row r="24" spans="1:12" s="1" customFormat="1" x14ac:dyDescent="0.25">
      <c r="A24" s="253" t="s">
        <v>22</v>
      </c>
      <c r="B24" s="253"/>
      <c r="C24" s="253"/>
      <c r="D24" s="253"/>
      <c r="E24" s="253"/>
      <c r="F24" s="253"/>
      <c r="G24" s="18">
        <v>0</v>
      </c>
    </row>
    <row r="25" spans="1:12" x14ac:dyDescent="0.25">
      <c r="A25" s="15">
        <v>5</v>
      </c>
      <c r="B25" s="35" t="s">
        <v>84</v>
      </c>
      <c r="C25" s="35"/>
      <c r="D25" s="15" t="s">
        <v>26</v>
      </c>
      <c r="E25" s="36"/>
      <c r="F25" s="37"/>
      <c r="G25" s="38">
        <f>SUM(E25:F25)</f>
        <v>0</v>
      </c>
    </row>
    <row r="26" spans="1:12" s="1" customFormat="1" x14ac:dyDescent="0.25">
      <c r="A26" s="21" t="s">
        <v>32</v>
      </c>
      <c r="B26" s="34" t="s">
        <v>3</v>
      </c>
      <c r="C26" s="22" t="s">
        <v>19</v>
      </c>
      <c r="D26" s="21"/>
      <c r="E26" s="23">
        <v>0</v>
      </c>
      <c r="F26" s="24">
        <v>0</v>
      </c>
      <c r="G26" s="25">
        <v>0</v>
      </c>
    </row>
    <row r="27" spans="1:12" s="1" customFormat="1" x14ac:dyDescent="0.25">
      <c r="A27" s="253" t="s">
        <v>22</v>
      </c>
      <c r="B27" s="253"/>
      <c r="C27" s="253"/>
      <c r="D27" s="16"/>
      <c r="E27" s="17">
        <f>E26</f>
        <v>0</v>
      </c>
      <c r="F27" s="17">
        <f>F26</f>
        <v>0</v>
      </c>
      <c r="G27" s="18">
        <f>E27+F27</f>
        <v>0</v>
      </c>
    </row>
    <row r="28" spans="1:12" x14ac:dyDescent="0.25">
      <c r="A28" s="255" t="s">
        <v>1</v>
      </c>
      <c r="B28" s="255"/>
      <c r="C28" s="255"/>
      <c r="D28" s="255"/>
      <c r="E28" s="39">
        <f>E11+E13+E22+E27</f>
        <v>138590.78</v>
      </c>
      <c r="F28" s="40">
        <f>F22+F27</f>
        <v>209942.71</v>
      </c>
      <c r="G28" s="39">
        <f>E28+F28</f>
        <v>348533.49</v>
      </c>
    </row>
    <row r="29" spans="1:12" x14ac:dyDescent="0.25">
      <c r="A29" s="10" t="s">
        <v>33</v>
      </c>
      <c r="B29" s="10"/>
      <c r="C29" s="11"/>
      <c r="D29" s="12"/>
      <c r="E29" s="12"/>
      <c r="F29" s="12"/>
      <c r="G29" s="12"/>
      <c r="K29" s="5"/>
      <c r="L29" s="5"/>
    </row>
    <row r="31" spans="1:12" x14ac:dyDescent="0.25">
      <c r="A31" s="262" t="s">
        <v>47</v>
      </c>
      <c r="B31" s="263"/>
      <c r="C31" s="263"/>
      <c r="D31" s="263"/>
      <c r="E31" s="263"/>
      <c r="F31" s="263"/>
      <c r="G31" s="264"/>
    </row>
    <row r="32" spans="1:12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37</v>
      </c>
      <c r="F32" s="14" t="s">
        <v>38</v>
      </c>
      <c r="G32" s="14" t="s">
        <v>39</v>
      </c>
    </row>
    <row r="33" spans="1:7" x14ac:dyDescent="0.25">
      <c r="A33" s="15">
        <v>1</v>
      </c>
      <c r="B33" s="254" t="s">
        <v>80</v>
      </c>
      <c r="C33" s="254"/>
      <c r="D33" s="254"/>
      <c r="E33" s="254"/>
      <c r="F33" s="254"/>
      <c r="G33" s="254"/>
    </row>
    <row r="34" spans="1:7" s="1" customFormat="1" x14ac:dyDescent="0.25">
      <c r="A34" s="21" t="s">
        <v>48</v>
      </c>
      <c r="B34" s="22" t="s">
        <v>85</v>
      </c>
      <c r="C34" s="22" t="s">
        <v>62</v>
      </c>
      <c r="D34" s="41"/>
      <c r="E34" s="42">
        <v>0</v>
      </c>
      <c r="F34" s="42">
        <v>63990</v>
      </c>
      <c r="G34" s="43">
        <f>E34+F34</f>
        <v>63990</v>
      </c>
    </row>
    <row r="35" spans="1:7" x14ac:dyDescent="0.25">
      <c r="A35" s="253" t="s">
        <v>22</v>
      </c>
      <c r="B35" s="253"/>
      <c r="C35" s="253"/>
      <c r="D35" s="16"/>
      <c r="E35" s="17">
        <f>0</f>
        <v>0</v>
      </c>
      <c r="F35" s="17">
        <f>F34</f>
        <v>63990</v>
      </c>
      <c r="G35" s="18">
        <f>G34</f>
        <v>63990</v>
      </c>
    </row>
    <row r="36" spans="1:7" x14ac:dyDescent="0.25">
      <c r="A36" s="15">
        <v>2</v>
      </c>
      <c r="B36" s="254" t="s">
        <v>81</v>
      </c>
      <c r="C36" s="254"/>
      <c r="D36" s="254"/>
      <c r="E36" s="254"/>
      <c r="F36" s="254"/>
      <c r="G36" s="254"/>
    </row>
    <row r="37" spans="1:7" x14ac:dyDescent="0.25">
      <c r="A37" s="253" t="s">
        <v>22</v>
      </c>
      <c r="B37" s="253"/>
      <c r="C37" s="253"/>
      <c r="D37" s="16"/>
      <c r="E37" s="19">
        <f>0</f>
        <v>0</v>
      </c>
      <c r="F37" s="19">
        <f>0</f>
        <v>0</v>
      </c>
      <c r="G37" s="20">
        <f>G36</f>
        <v>0</v>
      </c>
    </row>
    <row r="38" spans="1:7" x14ac:dyDescent="0.25">
      <c r="A38" s="15">
        <v>3</v>
      </c>
      <c r="B38" s="254" t="s">
        <v>82</v>
      </c>
      <c r="C38" s="254"/>
      <c r="D38" s="254"/>
      <c r="E38" s="254"/>
      <c r="F38" s="254"/>
      <c r="G38" s="254"/>
    </row>
    <row r="39" spans="1:7" x14ac:dyDescent="0.25">
      <c r="A39" s="256" t="s">
        <v>4</v>
      </c>
      <c r="B39" s="257" t="s">
        <v>10</v>
      </c>
      <c r="C39" s="26" t="s">
        <v>11</v>
      </c>
      <c r="D39" s="27" t="s">
        <v>20</v>
      </c>
      <c r="E39" s="28">
        <v>29390.74</v>
      </c>
      <c r="F39" s="29">
        <v>0</v>
      </c>
      <c r="G39" s="30">
        <f>SUM(E39:F39)</f>
        <v>29390.74</v>
      </c>
    </row>
    <row r="40" spans="1:7" x14ac:dyDescent="0.25">
      <c r="A40" s="256"/>
      <c r="B40" s="257"/>
      <c r="C40" s="26" t="s">
        <v>86</v>
      </c>
      <c r="D40" s="27"/>
      <c r="E40" s="28">
        <v>2120.6799999999998</v>
      </c>
      <c r="F40" s="29">
        <v>0</v>
      </c>
      <c r="G40" s="30">
        <f t="shared" ref="G40:G42" si="1">SUM(E40:F40)</f>
        <v>2120.6799999999998</v>
      </c>
    </row>
    <row r="41" spans="1:7" x14ac:dyDescent="0.25">
      <c r="A41" s="21" t="s">
        <v>5</v>
      </c>
      <c r="B41" s="34" t="s">
        <v>13</v>
      </c>
      <c r="C41" s="22" t="s">
        <v>14</v>
      </c>
      <c r="D41" s="21" t="s">
        <v>21</v>
      </c>
      <c r="E41" s="23">
        <v>4650.5600000000004</v>
      </c>
      <c r="F41" s="24">
        <v>12071.4</v>
      </c>
      <c r="G41" s="25">
        <f t="shared" si="1"/>
        <v>16721.96</v>
      </c>
    </row>
    <row r="42" spans="1:7" x14ac:dyDescent="0.25">
      <c r="A42" s="44" t="s">
        <v>6</v>
      </c>
      <c r="B42" s="45" t="s">
        <v>0</v>
      </c>
      <c r="C42" s="46" t="s">
        <v>31</v>
      </c>
      <c r="D42" s="44"/>
      <c r="E42" s="47">
        <v>0</v>
      </c>
      <c r="F42" s="48">
        <v>240807.22</v>
      </c>
      <c r="G42" s="47">
        <f t="shared" si="1"/>
        <v>240807.22</v>
      </c>
    </row>
    <row r="43" spans="1:7" x14ac:dyDescent="0.25">
      <c r="A43" s="253" t="s">
        <v>22</v>
      </c>
      <c r="B43" s="253"/>
      <c r="C43" s="253"/>
      <c r="D43" s="16"/>
      <c r="E43" s="17">
        <f>SUM(E39:E42)</f>
        <v>36161.980000000003</v>
      </c>
      <c r="F43" s="17">
        <f>SUM(F39:F42)</f>
        <v>252878.62</v>
      </c>
      <c r="G43" s="18">
        <f>SUM(G38:G42)</f>
        <v>289040.59999999998</v>
      </c>
    </row>
    <row r="44" spans="1:7" x14ac:dyDescent="0.25">
      <c r="A44" s="15">
        <v>4</v>
      </c>
      <c r="B44" s="254" t="s">
        <v>83</v>
      </c>
      <c r="C44" s="254"/>
      <c r="D44" s="254"/>
      <c r="E44" s="254"/>
      <c r="F44" s="254"/>
      <c r="G44" s="254"/>
    </row>
    <row r="45" spans="1:7" x14ac:dyDescent="0.25">
      <c r="A45" s="253" t="s">
        <v>22</v>
      </c>
      <c r="B45" s="253"/>
      <c r="C45" s="253"/>
      <c r="D45" s="253"/>
      <c r="E45" s="253"/>
      <c r="F45" s="253"/>
      <c r="G45" s="18">
        <v>0</v>
      </c>
    </row>
    <row r="46" spans="1:7" x14ac:dyDescent="0.25">
      <c r="A46" s="15">
        <v>5</v>
      </c>
      <c r="B46" s="35" t="s">
        <v>84</v>
      </c>
      <c r="C46" s="35"/>
      <c r="D46" s="15" t="s">
        <v>26</v>
      </c>
      <c r="E46" s="36"/>
      <c r="F46" s="37"/>
      <c r="G46" s="38">
        <f>SUM(E46:F46)</f>
        <v>0</v>
      </c>
    </row>
    <row r="47" spans="1:7" x14ac:dyDescent="0.25">
      <c r="A47" s="21" t="s">
        <v>32</v>
      </c>
      <c r="B47" s="34" t="s">
        <v>3</v>
      </c>
      <c r="C47" s="22" t="s">
        <v>19</v>
      </c>
      <c r="D47" s="21"/>
      <c r="E47" s="23">
        <v>7615.95</v>
      </c>
      <c r="F47" s="24">
        <v>26084.01</v>
      </c>
      <c r="G47" s="25">
        <f>SUM(E47:F47)</f>
        <v>33699.96</v>
      </c>
    </row>
    <row r="48" spans="1:7" x14ac:dyDescent="0.25">
      <c r="A48" s="253" t="s">
        <v>22</v>
      </c>
      <c r="B48" s="253"/>
      <c r="C48" s="253"/>
      <c r="D48" s="16"/>
      <c r="E48" s="17">
        <f>E47</f>
        <v>7615.95</v>
      </c>
      <c r="F48" s="17">
        <f>F47</f>
        <v>26084.01</v>
      </c>
      <c r="G48" s="18">
        <f>E48+F48</f>
        <v>33699.96</v>
      </c>
    </row>
    <row r="49" spans="1:7" x14ac:dyDescent="0.25">
      <c r="A49" s="255" t="s">
        <v>1</v>
      </c>
      <c r="B49" s="255"/>
      <c r="C49" s="255"/>
      <c r="D49" s="255"/>
      <c r="E49" s="39">
        <f>E35+E37+E43+E48</f>
        <v>43777.93</v>
      </c>
      <c r="F49" s="40">
        <f>F43+F48+F37+F35</f>
        <v>342952.63</v>
      </c>
      <c r="G49" s="39">
        <f>E49+F49</f>
        <v>386730.56</v>
      </c>
    </row>
    <row r="50" spans="1:7" s="7" customFormat="1" x14ac:dyDescent="0.25">
      <c r="A50" s="266" t="s">
        <v>33</v>
      </c>
      <c r="B50" s="266"/>
      <c r="C50" s="266"/>
      <c r="D50" s="266"/>
      <c r="E50" s="266"/>
      <c r="F50" s="266"/>
      <c r="G50" s="266"/>
    </row>
    <row r="51" spans="1:7" x14ac:dyDescent="0.25">
      <c r="A51" s="12"/>
      <c r="B51" s="12"/>
      <c r="C51" s="11"/>
      <c r="D51" s="12"/>
      <c r="E51" s="12"/>
      <c r="F51" s="12"/>
      <c r="G51" s="12"/>
    </row>
    <row r="52" spans="1:7" x14ac:dyDescent="0.25">
      <c r="A52" s="258" t="s">
        <v>49</v>
      </c>
      <c r="B52" s="258"/>
      <c r="C52" s="258"/>
      <c r="D52" s="258"/>
      <c r="E52" s="258"/>
      <c r="F52" s="258"/>
      <c r="G52" s="258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37</v>
      </c>
      <c r="F53" s="14" t="s">
        <v>38</v>
      </c>
      <c r="G53" s="14" t="s">
        <v>39</v>
      </c>
    </row>
    <row r="54" spans="1:7" x14ac:dyDescent="0.25">
      <c r="A54" s="15">
        <v>1</v>
      </c>
      <c r="B54" s="254" t="s">
        <v>80</v>
      </c>
      <c r="C54" s="254"/>
      <c r="D54" s="254"/>
      <c r="E54" s="254"/>
      <c r="F54" s="254"/>
      <c r="G54" s="254"/>
    </row>
    <row r="55" spans="1:7" x14ac:dyDescent="0.25">
      <c r="A55" s="21" t="s">
        <v>48</v>
      </c>
      <c r="B55" s="22" t="s">
        <v>85</v>
      </c>
      <c r="C55" s="22" t="s">
        <v>62</v>
      </c>
      <c r="D55" s="41"/>
      <c r="E55" s="49">
        <v>0</v>
      </c>
      <c r="F55" s="42">
        <v>41253</v>
      </c>
      <c r="G55" s="43">
        <f>E55+F55</f>
        <v>41253</v>
      </c>
    </row>
    <row r="56" spans="1:7" x14ac:dyDescent="0.25">
      <c r="A56" s="253" t="s">
        <v>22</v>
      </c>
      <c r="B56" s="253"/>
      <c r="C56" s="253"/>
      <c r="D56" s="16"/>
      <c r="E56" s="17">
        <f>0</f>
        <v>0</v>
      </c>
      <c r="F56" s="17">
        <f>F55</f>
        <v>41253</v>
      </c>
      <c r="G56" s="18">
        <f>G55</f>
        <v>41253</v>
      </c>
    </row>
    <row r="57" spans="1:7" x14ac:dyDescent="0.25">
      <c r="A57" s="15">
        <v>2</v>
      </c>
      <c r="B57" s="254" t="s">
        <v>81</v>
      </c>
      <c r="C57" s="254"/>
      <c r="D57" s="254"/>
      <c r="E57" s="254"/>
      <c r="F57" s="254"/>
      <c r="G57" s="254"/>
    </row>
    <row r="58" spans="1:7" x14ac:dyDescent="0.25">
      <c r="A58" s="253" t="s">
        <v>22</v>
      </c>
      <c r="B58" s="253"/>
      <c r="C58" s="253"/>
      <c r="D58" s="16"/>
      <c r="E58" s="19">
        <f>0</f>
        <v>0</v>
      </c>
      <c r="F58" s="19">
        <f>0</f>
        <v>0</v>
      </c>
      <c r="G58" s="20">
        <f>G57</f>
        <v>0</v>
      </c>
    </row>
    <row r="59" spans="1:7" x14ac:dyDescent="0.25">
      <c r="A59" s="15">
        <v>3</v>
      </c>
      <c r="B59" s="254" t="s">
        <v>82</v>
      </c>
      <c r="C59" s="254"/>
      <c r="D59" s="254"/>
      <c r="E59" s="254"/>
      <c r="F59" s="254"/>
      <c r="G59" s="254"/>
    </row>
    <row r="60" spans="1:7" x14ac:dyDescent="0.25">
      <c r="A60" s="27" t="s">
        <v>4</v>
      </c>
      <c r="B60" s="26" t="s">
        <v>7</v>
      </c>
      <c r="C60" s="26" t="s">
        <v>8</v>
      </c>
      <c r="D60" s="27" t="s">
        <v>9</v>
      </c>
      <c r="E60" s="28">
        <v>14890</v>
      </c>
      <c r="F60" s="29">
        <v>0</v>
      </c>
      <c r="G60" s="30">
        <f>SUM(E60:F60)</f>
        <v>14890</v>
      </c>
    </row>
    <row r="61" spans="1:7" x14ac:dyDescent="0.25">
      <c r="A61" s="21" t="s">
        <v>5</v>
      </c>
      <c r="B61" s="22" t="s">
        <v>15</v>
      </c>
      <c r="C61" s="22" t="s">
        <v>16</v>
      </c>
      <c r="D61" s="21" t="s">
        <v>17</v>
      </c>
      <c r="E61" s="23">
        <v>0</v>
      </c>
      <c r="F61" s="24">
        <f>37440+37440</f>
        <v>74880</v>
      </c>
      <c r="G61" s="25">
        <f t="shared" ref="G61:G67" si="2">SUM(E61:F61)</f>
        <v>74880</v>
      </c>
    </row>
    <row r="62" spans="1:7" s="7" customFormat="1" x14ac:dyDescent="0.25">
      <c r="A62" s="27" t="s">
        <v>6</v>
      </c>
      <c r="B62" s="33" t="s">
        <v>51</v>
      </c>
      <c r="C62" s="26" t="s">
        <v>86</v>
      </c>
      <c r="D62" s="27"/>
      <c r="E62" s="28">
        <v>0</v>
      </c>
      <c r="F62" s="29">
        <f>71307.51+71307.51</f>
        <v>142615.01999999999</v>
      </c>
      <c r="G62" s="30"/>
    </row>
    <row r="63" spans="1:7" x14ac:dyDescent="0.25">
      <c r="A63" s="261" t="s">
        <v>18</v>
      </c>
      <c r="B63" s="260" t="s">
        <v>10</v>
      </c>
      <c r="C63" s="22" t="s">
        <v>11</v>
      </c>
      <c r="D63" s="21" t="s">
        <v>20</v>
      </c>
      <c r="E63" s="23">
        <v>0</v>
      </c>
      <c r="F63" s="24">
        <v>0</v>
      </c>
      <c r="G63" s="25">
        <f t="shared" si="2"/>
        <v>0</v>
      </c>
    </row>
    <row r="64" spans="1:7" x14ac:dyDescent="0.25">
      <c r="A64" s="261"/>
      <c r="B64" s="260"/>
      <c r="C64" s="22" t="s">
        <v>86</v>
      </c>
      <c r="D64" s="21"/>
      <c r="E64" s="23">
        <v>0</v>
      </c>
      <c r="F64" s="24">
        <f>19757.18+19757.18</f>
        <v>39514.36</v>
      </c>
      <c r="G64" s="25">
        <f t="shared" si="2"/>
        <v>39514.36</v>
      </c>
    </row>
    <row r="65" spans="1:7" x14ac:dyDescent="0.25">
      <c r="A65" s="27" t="s">
        <v>23</v>
      </c>
      <c r="B65" s="33" t="s">
        <v>13</v>
      </c>
      <c r="C65" s="26" t="s">
        <v>14</v>
      </c>
      <c r="D65" s="27" t="s">
        <v>21</v>
      </c>
      <c r="E65" s="28">
        <v>0</v>
      </c>
      <c r="F65" s="29">
        <v>9685</v>
      </c>
      <c r="G65" s="30">
        <f t="shared" si="2"/>
        <v>9685</v>
      </c>
    </row>
    <row r="66" spans="1:7" s="7" customFormat="1" x14ac:dyDescent="0.25">
      <c r="A66" s="21" t="s">
        <v>24</v>
      </c>
      <c r="B66" s="34" t="s">
        <v>0</v>
      </c>
      <c r="C66" s="22" t="s">
        <v>31</v>
      </c>
      <c r="D66" s="21"/>
      <c r="E66" s="23">
        <v>0</v>
      </c>
      <c r="F66" s="24">
        <f>205627.98+19763.04+2992.58+102.15</f>
        <v>228485.75</v>
      </c>
      <c r="G66" s="25">
        <f t="shared" si="2"/>
        <v>228485.75</v>
      </c>
    </row>
    <row r="67" spans="1:7" x14ac:dyDescent="0.25">
      <c r="A67" s="27" t="s">
        <v>25</v>
      </c>
      <c r="B67" s="33" t="s">
        <v>42</v>
      </c>
      <c r="C67" s="26" t="s">
        <v>43</v>
      </c>
      <c r="D67" s="27"/>
      <c r="E67" s="28">
        <v>0</v>
      </c>
      <c r="F67" s="29">
        <v>114228</v>
      </c>
      <c r="G67" s="30">
        <f t="shared" si="2"/>
        <v>114228</v>
      </c>
    </row>
    <row r="68" spans="1:7" x14ac:dyDescent="0.25">
      <c r="A68" s="253" t="s">
        <v>22</v>
      </c>
      <c r="B68" s="253"/>
      <c r="C68" s="253"/>
      <c r="D68" s="16"/>
      <c r="E68" s="17">
        <f>SUM(E60:E67)</f>
        <v>14890</v>
      </c>
      <c r="F68" s="17">
        <f>SUM(F60:F67)</f>
        <v>609408.13</v>
      </c>
      <c r="G68" s="18">
        <f>SUM(G59:G67)</f>
        <v>481683.11</v>
      </c>
    </row>
    <row r="69" spans="1:7" x14ac:dyDescent="0.25">
      <c r="A69" s="15">
        <v>4</v>
      </c>
      <c r="B69" s="254" t="s">
        <v>83</v>
      </c>
      <c r="C69" s="254"/>
      <c r="D69" s="254"/>
      <c r="E69" s="254"/>
      <c r="F69" s="254"/>
      <c r="G69" s="254"/>
    </row>
    <row r="70" spans="1:7" x14ac:dyDescent="0.25">
      <c r="A70" s="253" t="s">
        <v>22</v>
      </c>
      <c r="B70" s="253"/>
      <c r="C70" s="253"/>
      <c r="D70" s="253"/>
      <c r="E70" s="253"/>
      <c r="F70" s="253"/>
      <c r="G70" s="18">
        <v>0</v>
      </c>
    </row>
    <row r="71" spans="1:7" x14ac:dyDescent="0.25">
      <c r="A71" s="15">
        <v>5</v>
      </c>
      <c r="B71" s="35" t="s">
        <v>84</v>
      </c>
      <c r="C71" s="35"/>
      <c r="D71" s="15" t="s">
        <v>26</v>
      </c>
      <c r="E71" s="36"/>
      <c r="F71" s="37"/>
      <c r="G71" s="38">
        <f>SUM(E71:F71)</f>
        <v>0</v>
      </c>
    </row>
    <row r="72" spans="1:7" x14ac:dyDescent="0.25">
      <c r="A72" s="21" t="s">
        <v>32</v>
      </c>
      <c r="B72" s="34" t="s">
        <v>3</v>
      </c>
      <c r="C72" s="22" t="s">
        <v>19</v>
      </c>
      <c r="D72" s="21"/>
      <c r="E72" s="23">
        <v>0</v>
      </c>
      <c r="F72" s="24">
        <v>17293.580000000002</v>
      </c>
      <c r="G72" s="25">
        <f>-SUM(E72:F72)</f>
        <v>-17293.580000000002</v>
      </c>
    </row>
    <row r="73" spans="1:7" x14ac:dyDescent="0.25">
      <c r="A73" s="253" t="s">
        <v>22</v>
      </c>
      <c r="B73" s="253"/>
      <c r="C73" s="253"/>
      <c r="D73" s="16"/>
      <c r="E73" s="17">
        <f>E72</f>
        <v>0</v>
      </c>
      <c r="F73" s="17">
        <f>F72</f>
        <v>17293.580000000002</v>
      </c>
      <c r="G73" s="18">
        <f>E73+F73</f>
        <v>17293.580000000002</v>
      </c>
    </row>
    <row r="74" spans="1:7" x14ac:dyDescent="0.25">
      <c r="A74" s="255" t="s">
        <v>1</v>
      </c>
      <c r="B74" s="255"/>
      <c r="C74" s="255"/>
      <c r="D74" s="255"/>
      <c r="E74" s="39">
        <f>E56+E58+E68+E73</f>
        <v>14890</v>
      </c>
      <c r="F74" s="40">
        <f>F68+F73+F58+F56</f>
        <v>667954.71</v>
      </c>
      <c r="G74" s="39">
        <f>E74+F74</f>
        <v>682844.71</v>
      </c>
    </row>
    <row r="75" spans="1:7" s="1" customFormat="1" x14ac:dyDescent="0.25">
      <c r="A75" s="266" t="s">
        <v>33</v>
      </c>
      <c r="B75" s="266"/>
      <c r="C75" s="266"/>
      <c r="D75" s="266"/>
      <c r="E75" s="266"/>
      <c r="F75" s="266"/>
      <c r="G75" s="266"/>
    </row>
    <row r="76" spans="1:7" x14ac:dyDescent="0.25">
      <c r="A76" s="12"/>
      <c r="B76" s="12"/>
      <c r="C76" s="11"/>
      <c r="D76" s="12"/>
      <c r="E76" s="12"/>
      <c r="F76" s="12"/>
      <c r="G76" s="12"/>
    </row>
    <row r="77" spans="1:7" x14ac:dyDescent="0.25">
      <c r="A77" s="258" t="s">
        <v>50</v>
      </c>
      <c r="B77" s="258"/>
      <c r="C77" s="258"/>
      <c r="D77" s="258"/>
      <c r="E77" s="258"/>
      <c r="F77" s="258"/>
      <c r="G77" s="258"/>
    </row>
    <row r="78" spans="1:7" ht="38.25" x14ac:dyDescent="0.25">
      <c r="A78" s="13" t="s">
        <v>27</v>
      </c>
      <c r="B78" s="13" t="s">
        <v>28</v>
      </c>
      <c r="C78" s="13" t="s">
        <v>29</v>
      </c>
      <c r="D78" s="13" t="s">
        <v>2</v>
      </c>
      <c r="E78" s="14" t="s">
        <v>37</v>
      </c>
      <c r="F78" s="14" t="s">
        <v>38</v>
      </c>
      <c r="G78" s="14" t="s">
        <v>39</v>
      </c>
    </row>
    <row r="79" spans="1:7" x14ac:dyDescent="0.25">
      <c r="A79" s="15">
        <v>1</v>
      </c>
      <c r="B79" s="254" t="s">
        <v>80</v>
      </c>
      <c r="C79" s="254"/>
      <c r="D79" s="254"/>
      <c r="E79" s="254"/>
      <c r="F79" s="254"/>
      <c r="G79" s="254"/>
    </row>
    <row r="80" spans="1:7" x14ac:dyDescent="0.25">
      <c r="A80" s="21" t="s">
        <v>48</v>
      </c>
      <c r="B80" s="22" t="s">
        <v>85</v>
      </c>
      <c r="C80" s="22" t="s">
        <v>62</v>
      </c>
      <c r="D80" s="41"/>
      <c r="E80" s="49">
        <v>0</v>
      </c>
      <c r="F80" s="42">
        <v>20650.5</v>
      </c>
      <c r="G80" s="43">
        <f>E80+F80</f>
        <v>20650.5</v>
      </c>
    </row>
    <row r="81" spans="1:7" x14ac:dyDescent="0.25">
      <c r="A81" s="253" t="s">
        <v>22</v>
      </c>
      <c r="B81" s="253"/>
      <c r="C81" s="253"/>
      <c r="D81" s="16"/>
      <c r="E81" s="17">
        <f>0</f>
        <v>0</v>
      </c>
      <c r="F81" s="17">
        <f>F80</f>
        <v>20650.5</v>
      </c>
      <c r="G81" s="18">
        <f>G80</f>
        <v>20650.5</v>
      </c>
    </row>
    <row r="82" spans="1:7" x14ac:dyDescent="0.25">
      <c r="A82" s="15">
        <v>2</v>
      </c>
      <c r="B82" s="254" t="s">
        <v>81</v>
      </c>
      <c r="C82" s="254"/>
      <c r="D82" s="254"/>
      <c r="E82" s="254"/>
      <c r="F82" s="254"/>
      <c r="G82" s="254"/>
    </row>
    <row r="83" spans="1:7" x14ac:dyDescent="0.25">
      <c r="A83" s="253" t="s">
        <v>22</v>
      </c>
      <c r="B83" s="253"/>
      <c r="C83" s="253"/>
      <c r="D83" s="16"/>
      <c r="E83" s="19">
        <f>0</f>
        <v>0</v>
      </c>
      <c r="F83" s="19">
        <f>0</f>
        <v>0</v>
      </c>
      <c r="G83" s="20">
        <f>G82</f>
        <v>0</v>
      </c>
    </row>
    <row r="84" spans="1:7" x14ac:dyDescent="0.25">
      <c r="A84" s="15">
        <v>3</v>
      </c>
      <c r="B84" s="254" t="s">
        <v>82</v>
      </c>
      <c r="C84" s="254"/>
      <c r="D84" s="254"/>
      <c r="E84" s="254"/>
      <c r="F84" s="254"/>
      <c r="G84" s="254"/>
    </row>
    <row r="85" spans="1:7" x14ac:dyDescent="0.25">
      <c r="A85" s="27" t="s">
        <v>4</v>
      </c>
      <c r="B85" s="26" t="s">
        <v>15</v>
      </c>
      <c r="C85" s="26" t="s">
        <v>16</v>
      </c>
      <c r="D85" s="27" t="s">
        <v>17</v>
      </c>
      <c r="E85" s="28">
        <v>0</v>
      </c>
      <c r="F85" s="29">
        <v>37440</v>
      </c>
      <c r="G85" s="30">
        <f t="shared" ref="G85:G92" si="3">SUM(E85:F85)</f>
        <v>37440</v>
      </c>
    </row>
    <row r="86" spans="1:7" x14ac:dyDescent="0.25">
      <c r="A86" s="21" t="s">
        <v>5</v>
      </c>
      <c r="B86" s="34" t="s">
        <v>51</v>
      </c>
      <c r="C86" s="22" t="s">
        <v>86</v>
      </c>
      <c r="D86" s="21" t="s">
        <v>12</v>
      </c>
      <c r="E86" s="23">
        <v>0</v>
      </c>
      <c r="F86" s="24">
        <v>71307.509999999995</v>
      </c>
      <c r="G86" s="25">
        <f t="shared" si="3"/>
        <v>71307.509999999995</v>
      </c>
    </row>
    <row r="87" spans="1:7" x14ac:dyDescent="0.25">
      <c r="A87" s="256" t="s">
        <v>6</v>
      </c>
      <c r="B87" s="257" t="s">
        <v>10</v>
      </c>
      <c r="C87" s="26" t="s">
        <v>11</v>
      </c>
      <c r="D87" s="27" t="s">
        <v>20</v>
      </c>
      <c r="E87" s="28">
        <v>0</v>
      </c>
      <c r="F87" s="29">
        <f>106200.94</f>
        <v>106200.94</v>
      </c>
      <c r="G87" s="30">
        <f t="shared" si="3"/>
        <v>106200.94</v>
      </c>
    </row>
    <row r="88" spans="1:7" x14ac:dyDescent="0.25">
      <c r="A88" s="256"/>
      <c r="B88" s="257"/>
      <c r="C88" s="26" t="s">
        <v>86</v>
      </c>
      <c r="D88" s="27"/>
      <c r="E88" s="28">
        <v>0</v>
      </c>
      <c r="F88" s="29">
        <v>19757.18</v>
      </c>
      <c r="G88" s="30">
        <f t="shared" si="3"/>
        <v>19757.18</v>
      </c>
    </row>
    <row r="89" spans="1:7" x14ac:dyDescent="0.25">
      <c r="A89" s="21" t="s">
        <v>18</v>
      </c>
      <c r="B89" s="34" t="s">
        <v>13</v>
      </c>
      <c r="C89" s="22" t="s">
        <v>14</v>
      </c>
      <c r="D89" s="21" t="s">
        <v>21</v>
      </c>
      <c r="E89" s="23">
        <v>0</v>
      </c>
      <c r="F89" s="24">
        <v>27946.94</v>
      </c>
      <c r="G89" s="25">
        <f t="shared" si="3"/>
        <v>27946.94</v>
      </c>
    </row>
    <row r="90" spans="1:7" x14ac:dyDescent="0.25">
      <c r="A90" s="27" t="s">
        <v>23</v>
      </c>
      <c r="B90" s="33" t="s">
        <v>0</v>
      </c>
      <c r="C90" s="26" t="s">
        <v>31</v>
      </c>
      <c r="D90" s="27"/>
      <c r="E90" s="28">
        <v>0</v>
      </c>
      <c r="F90" s="29">
        <v>228175.49</v>
      </c>
      <c r="G90" s="30">
        <f t="shared" si="3"/>
        <v>228175.49</v>
      </c>
    </row>
    <row r="91" spans="1:7" x14ac:dyDescent="0.25">
      <c r="A91" s="21" t="s">
        <v>24</v>
      </c>
      <c r="B91" s="34" t="s">
        <v>42</v>
      </c>
      <c r="C91" s="22" t="s">
        <v>43</v>
      </c>
      <c r="D91" s="21"/>
      <c r="E91" s="23">
        <v>0</v>
      </c>
      <c r="F91" s="24">
        <v>54331.199999999997</v>
      </c>
      <c r="G91" s="25">
        <f t="shared" si="3"/>
        <v>54331.199999999997</v>
      </c>
    </row>
    <row r="92" spans="1:7" s="1" customFormat="1" x14ac:dyDescent="0.25">
      <c r="A92" s="27" t="s">
        <v>25</v>
      </c>
      <c r="B92" s="33" t="s">
        <v>52</v>
      </c>
      <c r="C92" s="26" t="s">
        <v>53</v>
      </c>
      <c r="D92" s="27"/>
      <c r="E92" s="28">
        <v>0</v>
      </c>
      <c r="F92" s="29">
        <v>4428</v>
      </c>
      <c r="G92" s="30">
        <f t="shared" si="3"/>
        <v>4428</v>
      </c>
    </row>
    <row r="93" spans="1:7" x14ac:dyDescent="0.25">
      <c r="A93" s="253" t="s">
        <v>22</v>
      </c>
      <c r="B93" s="253"/>
      <c r="C93" s="253"/>
      <c r="D93" s="16"/>
      <c r="E93" s="17">
        <f>SUM(E85:E92)</f>
        <v>0</v>
      </c>
      <c r="F93" s="17">
        <f>SUM(F85:F92)</f>
        <v>549587.26</v>
      </c>
      <c r="G93" s="18">
        <f>SUM(G84:G92)</f>
        <v>549587.26</v>
      </c>
    </row>
    <row r="94" spans="1:7" x14ac:dyDescent="0.25">
      <c r="A94" s="15">
        <v>4</v>
      </c>
      <c r="B94" s="254" t="s">
        <v>83</v>
      </c>
      <c r="C94" s="254"/>
      <c r="D94" s="254"/>
      <c r="E94" s="254"/>
      <c r="F94" s="254"/>
      <c r="G94" s="254"/>
    </row>
    <row r="95" spans="1:7" x14ac:dyDescent="0.25">
      <c r="A95" s="253" t="s">
        <v>22</v>
      </c>
      <c r="B95" s="253"/>
      <c r="C95" s="253"/>
      <c r="D95" s="253"/>
      <c r="E95" s="253"/>
      <c r="F95" s="253"/>
      <c r="G95" s="18">
        <v>0</v>
      </c>
    </row>
    <row r="96" spans="1:7" x14ac:dyDescent="0.25">
      <c r="A96" s="15">
        <v>5</v>
      </c>
      <c r="B96" s="35" t="s">
        <v>84</v>
      </c>
      <c r="C96" s="35"/>
      <c r="D96" s="15" t="s">
        <v>26</v>
      </c>
      <c r="E96" s="36"/>
      <c r="F96" s="37"/>
      <c r="G96" s="38">
        <f>SUM(E96:F96)</f>
        <v>0</v>
      </c>
    </row>
    <row r="97" spans="1:7" x14ac:dyDescent="0.25">
      <c r="A97" s="21" t="s">
        <v>32</v>
      </c>
      <c r="B97" s="34" t="s">
        <v>3</v>
      </c>
      <c r="C97" s="22" t="s">
        <v>19</v>
      </c>
      <c r="D97" s="21"/>
      <c r="E97" s="23">
        <v>17536.060000000001</v>
      </c>
      <c r="F97" s="24">
        <f>18819.93+3545.25</f>
        <v>22365.18</v>
      </c>
      <c r="G97" s="25">
        <f>-SUM(E97:F97)</f>
        <v>-39901.240000000005</v>
      </c>
    </row>
    <row r="98" spans="1:7" x14ac:dyDescent="0.25">
      <c r="A98" s="253" t="s">
        <v>22</v>
      </c>
      <c r="B98" s="253"/>
      <c r="C98" s="253"/>
      <c r="D98" s="16"/>
      <c r="E98" s="17">
        <f>E97</f>
        <v>17536.060000000001</v>
      </c>
      <c r="F98" s="17">
        <f>F97</f>
        <v>22365.18</v>
      </c>
      <c r="G98" s="18">
        <f>E98+F98</f>
        <v>39901.240000000005</v>
      </c>
    </row>
    <row r="99" spans="1:7" x14ac:dyDescent="0.25">
      <c r="A99" s="255" t="s">
        <v>1</v>
      </c>
      <c r="B99" s="255"/>
      <c r="C99" s="255"/>
      <c r="D99" s="255"/>
      <c r="E99" s="39">
        <f>E81+E83+E93+E98</f>
        <v>17536.060000000001</v>
      </c>
      <c r="F99" s="40">
        <f>F93+F98+F83+F81</f>
        <v>592602.94000000006</v>
      </c>
      <c r="G99" s="39">
        <f>E99+F99</f>
        <v>610139.00000000012</v>
      </c>
    </row>
    <row r="100" spans="1:7" s="1" customFormat="1" x14ac:dyDescent="0.25">
      <c r="A100" s="266" t="s">
        <v>33</v>
      </c>
      <c r="B100" s="266"/>
      <c r="C100" s="266"/>
      <c r="D100" s="266"/>
      <c r="E100" s="266"/>
      <c r="F100" s="266"/>
      <c r="G100" s="266"/>
    </row>
    <row r="101" spans="1:7" x14ac:dyDescent="0.25">
      <c r="A101" s="12"/>
      <c r="B101" s="12"/>
      <c r="C101" s="11"/>
      <c r="D101" s="12"/>
      <c r="E101" s="12"/>
      <c r="F101" s="12"/>
      <c r="G101" s="12"/>
    </row>
    <row r="102" spans="1:7" x14ac:dyDescent="0.25">
      <c r="A102" s="258" t="s">
        <v>54</v>
      </c>
      <c r="B102" s="258"/>
      <c r="C102" s="258"/>
      <c r="D102" s="258"/>
      <c r="E102" s="258"/>
      <c r="F102" s="258"/>
      <c r="G102" s="258"/>
    </row>
    <row r="103" spans="1:7" ht="38.25" x14ac:dyDescent="0.25">
      <c r="A103" s="13" t="s">
        <v>27</v>
      </c>
      <c r="B103" s="13" t="s">
        <v>28</v>
      </c>
      <c r="C103" s="13" t="s">
        <v>29</v>
      </c>
      <c r="D103" s="13" t="s">
        <v>2</v>
      </c>
      <c r="E103" s="14" t="s">
        <v>37</v>
      </c>
      <c r="F103" s="14" t="s">
        <v>38</v>
      </c>
      <c r="G103" s="14" t="s">
        <v>39</v>
      </c>
    </row>
    <row r="104" spans="1:7" x14ac:dyDescent="0.25">
      <c r="A104" s="15">
        <v>1</v>
      </c>
      <c r="B104" s="254" t="s">
        <v>80</v>
      </c>
      <c r="C104" s="254"/>
      <c r="D104" s="254"/>
      <c r="E104" s="254"/>
      <c r="F104" s="254"/>
      <c r="G104" s="254"/>
    </row>
    <row r="105" spans="1:7" x14ac:dyDescent="0.25">
      <c r="A105" s="21" t="s">
        <v>48</v>
      </c>
      <c r="B105" s="22" t="s">
        <v>85</v>
      </c>
      <c r="C105" s="22" t="s">
        <v>62</v>
      </c>
      <c r="D105" s="41"/>
      <c r="E105" s="49">
        <v>0</v>
      </c>
      <c r="F105" s="42">
        <v>24508.5</v>
      </c>
      <c r="G105" s="43">
        <f>E105+F105</f>
        <v>24508.5</v>
      </c>
    </row>
    <row r="106" spans="1:7" x14ac:dyDescent="0.25">
      <c r="A106" s="253" t="s">
        <v>22</v>
      </c>
      <c r="B106" s="253"/>
      <c r="C106" s="253"/>
      <c r="D106" s="16"/>
      <c r="E106" s="17">
        <f>0</f>
        <v>0</v>
      </c>
      <c r="F106" s="17">
        <f>F105</f>
        <v>24508.5</v>
      </c>
      <c r="G106" s="18">
        <f>G105</f>
        <v>24508.5</v>
      </c>
    </row>
    <row r="107" spans="1:7" x14ac:dyDescent="0.25">
      <c r="A107" s="15">
        <v>2</v>
      </c>
      <c r="B107" s="254" t="s">
        <v>81</v>
      </c>
      <c r="C107" s="254"/>
      <c r="D107" s="254"/>
      <c r="E107" s="254"/>
      <c r="F107" s="254"/>
      <c r="G107" s="254"/>
    </row>
    <row r="108" spans="1:7" x14ac:dyDescent="0.25">
      <c r="A108" s="253" t="s">
        <v>22</v>
      </c>
      <c r="B108" s="253"/>
      <c r="C108" s="253"/>
      <c r="D108" s="16"/>
      <c r="E108" s="19">
        <f>0</f>
        <v>0</v>
      </c>
      <c r="F108" s="19">
        <f>0</f>
        <v>0</v>
      </c>
      <c r="G108" s="20">
        <f>G107</f>
        <v>0</v>
      </c>
    </row>
    <row r="109" spans="1:7" x14ac:dyDescent="0.25">
      <c r="A109" s="15">
        <v>3</v>
      </c>
      <c r="B109" s="254" t="s">
        <v>82</v>
      </c>
      <c r="C109" s="254"/>
      <c r="D109" s="254"/>
      <c r="E109" s="254"/>
      <c r="F109" s="254"/>
      <c r="G109" s="254"/>
    </row>
    <row r="110" spans="1:7" x14ac:dyDescent="0.25">
      <c r="A110" s="27" t="s">
        <v>4</v>
      </c>
      <c r="B110" s="26" t="s">
        <v>15</v>
      </c>
      <c r="C110" s="26" t="s">
        <v>16</v>
      </c>
      <c r="D110" s="27" t="s">
        <v>17</v>
      </c>
      <c r="E110" s="28">
        <v>0</v>
      </c>
      <c r="F110" s="29">
        <v>37440</v>
      </c>
      <c r="G110" s="30">
        <f t="shared" ref="G110:G116" si="4">SUM(E110:F110)</f>
        <v>37440</v>
      </c>
    </row>
    <row r="111" spans="1:7" x14ac:dyDescent="0.25">
      <c r="A111" s="21" t="s">
        <v>5</v>
      </c>
      <c r="B111" s="34" t="s">
        <v>51</v>
      </c>
      <c r="C111" s="22" t="s">
        <v>86</v>
      </c>
      <c r="D111" s="21" t="s">
        <v>12</v>
      </c>
      <c r="E111" s="23">
        <v>0</v>
      </c>
      <c r="F111" s="24">
        <v>71307.509999999995</v>
      </c>
      <c r="G111" s="25">
        <f t="shared" si="4"/>
        <v>71307.509999999995</v>
      </c>
    </row>
    <row r="112" spans="1:7" x14ac:dyDescent="0.25">
      <c r="A112" s="256" t="s">
        <v>6</v>
      </c>
      <c r="B112" s="257" t="s">
        <v>10</v>
      </c>
      <c r="C112" s="26" t="s">
        <v>11</v>
      </c>
      <c r="D112" s="27" t="s">
        <v>20</v>
      </c>
      <c r="E112" s="28">
        <v>0</v>
      </c>
      <c r="F112" s="29">
        <v>71910.38</v>
      </c>
      <c r="G112" s="30">
        <f t="shared" si="4"/>
        <v>71910.38</v>
      </c>
    </row>
    <row r="113" spans="1:7" x14ac:dyDescent="0.25">
      <c r="A113" s="256"/>
      <c r="B113" s="257"/>
      <c r="C113" s="26" t="s">
        <v>86</v>
      </c>
      <c r="D113" s="27"/>
      <c r="E113" s="28">
        <v>0</v>
      </c>
      <c r="F113" s="29">
        <v>0</v>
      </c>
      <c r="G113" s="30">
        <f t="shared" si="4"/>
        <v>0</v>
      </c>
    </row>
    <row r="114" spans="1:7" x14ac:dyDescent="0.25">
      <c r="A114" s="21" t="s">
        <v>18</v>
      </c>
      <c r="B114" s="34" t="s">
        <v>13</v>
      </c>
      <c r="C114" s="22" t="s">
        <v>14</v>
      </c>
      <c r="D114" s="21" t="s">
        <v>21</v>
      </c>
      <c r="E114" s="23">
        <v>0</v>
      </c>
      <c r="F114" s="24">
        <v>14148.7</v>
      </c>
      <c r="G114" s="25">
        <f t="shared" si="4"/>
        <v>14148.7</v>
      </c>
    </row>
    <row r="115" spans="1:7" x14ac:dyDescent="0.25">
      <c r="A115" s="27" t="s">
        <v>23</v>
      </c>
      <c r="B115" s="33" t="s">
        <v>0</v>
      </c>
      <c r="C115" s="26" t="s">
        <v>31</v>
      </c>
      <c r="D115" s="27"/>
      <c r="E115" s="28">
        <v>0</v>
      </c>
      <c r="F115" s="29">
        <f>244218.07+839.7</f>
        <v>245057.77000000002</v>
      </c>
      <c r="G115" s="30">
        <f t="shared" si="4"/>
        <v>245057.77000000002</v>
      </c>
    </row>
    <row r="116" spans="1:7" x14ac:dyDescent="0.25">
      <c r="A116" s="21" t="s">
        <v>24</v>
      </c>
      <c r="B116" s="34" t="s">
        <v>42</v>
      </c>
      <c r="C116" s="22" t="s">
        <v>43</v>
      </c>
      <c r="D116" s="21"/>
      <c r="E116" s="23">
        <v>0</v>
      </c>
      <c r="F116" s="24">
        <v>45273.599999999999</v>
      </c>
      <c r="G116" s="25">
        <f t="shared" si="4"/>
        <v>45273.599999999999</v>
      </c>
    </row>
    <row r="117" spans="1:7" x14ac:dyDescent="0.25">
      <c r="A117" s="253" t="s">
        <v>22</v>
      </c>
      <c r="B117" s="253"/>
      <c r="C117" s="253"/>
      <c r="D117" s="16"/>
      <c r="E117" s="17">
        <f>SUM(E110:E116)</f>
        <v>0</v>
      </c>
      <c r="F117" s="17">
        <f>SUM(F110:F116)</f>
        <v>485137.96</v>
      </c>
      <c r="G117" s="18">
        <f>SUM(G109:G116)</f>
        <v>485137.96</v>
      </c>
    </row>
    <row r="118" spans="1:7" x14ac:dyDescent="0.25">
      <c r="A118" s="15">
        <v>4</v>
      </c>
      <c r="B118" s="254" t="s">
        <v>83</v>
      </c>
      <c r="C118" s="254"/>
      <c r="D118" s="254"/>
      <c r="E118" s="254"/>
      <c r="F118" s="254"/>
      <c r="G118" s="254"/>
    </row>
    <row r="119" spans="1:7" x14ac:dyDescent="0.25">
      <c r="A119" s="253" t="s">
        <v>22</v>
      </c>
      <c r="B119" s="253"/>
      <c r="C119" s="253"/>
      <c r="D119" s="253"/>
      <c r="E119" s="253"/>
      <c r="F119" s="253"/>
      <c r="G119" s="18">
        <v>0</v>
      </c>
    </row>
    <row r="120" spans="1:7" x14ac:dyDescent="0.25">
      <c r="A120" s="15">
        <v>5</v>
      </c>
      <c r="B120" s="35" t="s">
        <v>84</v>
      </c>
      <c r="C120" s="35"/>
      <c r="D120" s="15" t="s">
        <v>26</v>
      </c>
      <c r="E120" s="36"/>
      <c r="F120" s="37"/>
      <c r="G120" s="38">
        <f>SUM(E120:F120)</f>
        <v>0</v>
      </c>
    </row>
    <row r="121" spans="1:7" x14ac:dyDescent="0.25">
      <c r="A121" s="21" t="s">
        <v>32</v>
      </c>
      <c r="B121" s="34" t="s">
        <v>3</v>
      </c>
      <c r="C121" s="22" t="s">
        <v>19</v>
      </c>
      <c r="D121" s="21"/>
      <c r="E121" s="23">
        <v>0</v>
      </c>
      <c r="F121" s="24">
        <v>26611.93</v>
      </c>
      <c r="G121" s="25">
        <f>-SUM(E121:F121)</f>
        <v>-26611.93</v>
      </c>
    </row>
    <row r="122" spans="1:7" x14ac:dyDescent="0.25">
      <c r="A122" s="253" t="s">
        <v>22</v>
      </c>
      <c r="B122" s="253"/>
      <c r="C122" s="253"/>
      <c r="D122" s="16"/>
      <c r="E122" s="17">
        <f>E121</f>
        <v>0</v>
      </c>
      <c r="F122" s="17">
        <f>F121</f>
        <v>26611.93</v>
      </c>
      <c r="G122" s="18">
        <f>E122+F122</f>
        <v>26611.93</v>
      </c>
    </row>
    <row r="123" spans="1:7" x14ac:dyDescent="0.25">
      <c r="A123" s="255" t="s">
        <v>1</v>
      </c>
      <c r="B123" s="255"/>
      <c r="C123" s="255"/>
      <c r="D123" s="255"/>
      <c r="E123" s="39">
        <f>E106+E108+E117+E122</f>
        <v>0</v>
      </c>
      <c r="F123" s="40">
        <f>F117+F122+F108+F106</f>
        <v>536258.39</v>
      </c>
      <c r="G123" s="39">
        <f>E123+F123</f>
        <v>536258.39</v>
      </c>
    </row>
    <row r="124" spans="1:7" s="1" customFormat="1" x14ac:dyDescent="0.25">
      <c r="A124" s="266" t="s">
        <v>33</v>
      </c>
      <c r="B124" s="266"/>
      <c r="C124" s="266"/>
      <c r="D124" s="266"/>
      <c r="E124" s="266"/>
      <c r="F124" s="266"/>
      <c r="G124" s="266"/>
    </row>
    <row r="125" spans="1:7" x14ac:dyDescent="0.25">
      <c r="A125" s="12"/>
      <c r="B125" s="12"/>
      <c r="C125" s="11"/>
      <c r="D125" s="12"/>
      <c r="E125" s="12"/>
      <c r="F125" s="12"/>
      <c r="G125" s="12"/>
    </row>
    <row r="126" spans="1:7" x14ac:dyDescent="0.25">
      <c r="A126" s="258" t="s">
        <v>55</v>
      </c>
      <c r="B126" s="258"/>
      <c r="C126" s="258"/>
      <c r="D126" s="258"/>
      <c r="E126" s="258"/>
      <c r="F126" s="258"/>
      <c r="G126" s="258"/>
    </row>
    <row r="127" spans="1:7" ht="38.25" x14ac:dyDescent="0.25">
      <c r="A127" s="13" t="s">
        <v>27</v>
      </c>
      <c r="B127" s="13" t="s">
        <v>28</v>
      </c>
      <c r="C127" s="13" t="s">
        <v>29</v>
      </c>
      <c r="D127" s="13" t="s">
        <v>2</v>
      </c>
      <c r="E127" s="14" t="s">
        <v>37</v>
      </c>
      <c r="F127" s="14" t="s">
        <v>38</v>
      </c>
      <c r="G127" s="14" t="s">
        <v>39</v>
      </c>
    </row>
    <row r="128" spans="1:7" x14ac:dyDescent="0.25">
      <c r="A128" s="15">
        <v>1</v>
      </c>
      <c r="B128" s="254" t="s">
        <v>80</v>
      </c>
      <c r="C128" s="254"/>
      <c r="D128" s="254"/>
      <c r="E128" s="254"/>
      <c r="F128" s="254"/>
      <c r="G128" s="254"/>
    </row>
    <row r="129" spans="1:7" x14ac:dyDescent="0.25">
      <c r="A129" s="253" t="s">
        <v>22</v>
      </c>
      <c r="B129" s="253"/>
      <c r="C129" s="253"/>
      <c r="D129" s="16"/>
      <c r="E129" s="17">
        <v>0</v>
      </c>
      <c r="F129" s="17">
        <v>0</v>
      </c>
      <c r="G129" s="18">
        <v>0</v>
      </c>
    </row>
    <row r="130" spans="1:7" x14ac:dyDescent="0.25">
      <c r="A130" s="15">
        <v>2</v>
      </c>
      <c r="B130" s="254" t="s">
        <v>81</v>
      </c>
      <c r="C130" s="254"/>
      <c r="D130" s="254"/>
      <c r="E130" s="254"/>
      <c r="F130" s="254"/>
      <c r="G130" s="254"/>
    </row>
    <row r="131" spans="1:7" x14ac:dyDescent="0.25">
      <c r="A131" s="253" t="s">
        <v>22</v>
      </c>
      <c r="B131" s="253"/>
      <c r="C131" s="253"/>
      <c r="D131" s="16"/>
      <c r="E131" s="19">
        <f>0</f>
        <v>0</v>
      </c>
      <c r="F131" s="19">
        <f>0</f>
        <v>0</v>
      </c>
      <c r="G131" s="20">
        <f>G130</f>
        <v>0</v>
      </c>
    </row>
    <row r="132" spans="1:7" x14ac:dyDescent="0.25">
      <c r="A132" s="15">
        <v>3</v>
      </c>
      <c r="B132" s="254" t="s">
        <v>82</v>
      </c>
      <c r="C132" s="254"/>
      <c r="D132" s="254"/>
      <c r="E132" s="254"/>
      <c r="F132" s="254"/>
      <c r="G132" s="254"/>
    </row>
    <row r="133" spans="1:7" x14ac:dyDescent="0.25">
      <c r="A133" s="27" t="s">
        <v>4</v>
      </c>
      <c r="B133" s="26" t="s">
        <v>15</v>
      </c>
      <c r="C133" s="26" t="s">
        <v>16</v>
      </c>
      <c r="D133" s="27" t="s">
        <v>17</v>
      </c>
      <c r="E133" s="28">
        <v>0</v>
      </c>
      <c r="F133" s="29">
        <v>37440</v>
      </c>
      <c r="G133" s="30">
        <f t="shared" ref="G133:G139" si="5">SUM(E133:F133)</f>
        <v>37440</v>
      </c>
    </row>
    <row r="134" spans="1:7" x14ac:dyDescent="0.25">
      <c r="A134" s="21" t="s">
        <v>5</v>
      </c>
      <c r="B134" s="34" t="s">
        <v>51</v>
      </c>
      <c r="C134" s="22" t="s">
        <v>86</v>
      </c>
      <c r="D134" s="21" t="s">
        <v>12</v>
      </c>
      <c r="E134" s="23">
        <v>0</v>
      </c>
      <c r="F134" s="24">
        <v>71307.509999999995</v>
      </c>
      <c r="G134" s="25">
        <f t="shared" si="5"/>
        <v>71307.509999999995</v>
      </c>
    </row>
    <row r="135" spans="1:7" x14ac:dyDescent="0.25">
      <c r="A135" s="256" t="s">
        <v>6</v>
      </c>
      <c r="B135" s="257" t="s">
        <v>10</v>
      </c>
      <c r="C135" s="26" t="s">
        <v>11</v>
      </c>
      <c r="D135" s="27" t="s">
        <v>20</v>
      </c>
      <c r="E135" s="28">
        <v>0</v>
      </c>
      <c r="F135" s="29">
        <v>61039.16</v>
      </c>
      <c r="G135" s="30">
        <f t="shared" si="5"/>
        <v>61039.16</v>
      </c>
    </row>
    <row r="136" spans="1:7" x14ac:dyDescent="0.25">
      <c r="A136" s="256"/>
      <c r="B136" s="257"/>
      <c r="C136" s="26" t="s">
        <v>86</v>
      </c>
      <c r="D136" s="27"/>
      <c r="E136" s="28">
        <v>0</v>
      </c>
      <c r="F136" s="29">
        <f>19757.18+19757.18</f>
        <v>39514.36</v>
      </c>
      <c r="G136" s="30">
        <f t="shared" si="5"/>
        <v>39514.36</v>
      </c>
    </row>
    <row r="137" spans="1:7" x14ac:dyDescent="0.25">
      <c r="A137" s="21" t="s">
        <v>18</v>
      </c>
      <c r="B137" s="34" t="s">
        <v>13</v>
      </c>
      <c r="C137" s="22" t="s">
        <v>14</v>
      </c>
      <c r="D137" s="21" t="s">
        <v>21</v>
      </c>
      <c r="E137" s="23">
        <v>0</v>
      </c>
      <c r="F137" s="24">
        <v>9679.1</v>
      </c>
      <c r="G137" s="25">
        <f t="shared" si="5"/>
        <v>9679.1</v>
      </c>
    </row>
    <row r="138" spans="1:7" x14ac:dyDescent="0.25">
      <c r="A138" s="27" t="s">
        <v>23</v>
      </c>
      <c r="B138" s="33" t="s">
        <v>0</v>
      </c>
      <c r="C138" s="26" t="s">
        <v>31</v>
      </c>
      <c r="D138" s="27"/>
      <c r="E138" s="28">
        <v>0</v>
      </c>
      <c r="F138" s="29">
        <v>239477.76000000001</v>
      </c>
      <c r="G138" s="30">
        <f t="shared" si="5"/>
        <v>239477.76000000001</v>
      </c>
    </row>
    <row r="139" spans="1:7" x14ac:dyDescent="0.25">
      <c r="A139" s="21" t="s">
        <v>24</v>
      </c>
      <c r="B139" s="34" t="s">
        <v>42</v>
      </c>
      <c r="C139" s="22" t="s">
        <v>43</v>
      </c>
      <c r="D139" s="21"/>
      <c r="E139" s="23">
        <v>0</v>
      </c>
      <c r="F139" s="24">
        <v>39902.400000000001</v>
      </c>
      <c r="G139" s="25">
        <f t="shared" si="5"/>
        <v>39902.400000000001</v>
      </c>
    </row>
    <row r="140" spans="1:7" x14ac:dyDescent="0.25">
      <c r="A140" s="253" t="s">
        <v>22</v>
      </c>
      <c r="B140" s="253"/>
      <c r="C140" s="253"/>
      <c r="D140" s="16"/>
      <c r="E140" s="17">
        <f>SUM(E133:E139)</f>
        <v>0</v>
      </c>
      <c r="F140" s="17">
        <f>SUM(F133:F139)</f>
        <v>498360.29000000004</v>
      </c>
      <c r="G140" s="18">
        <f>SUM(G132:G139)</f>
        <v>498360.29000000004</v>
      </c>
    </row>
    <row r="141" spans="1:7" x14ac:dyDescent="0.25">
      <c r="A141" s="15">
        <v>4</v>
      </c>
      <c r="B141" s="254" t="s">
        <v>83</v>
      </c>
      <c r="C141" s="254"/>
      <c r="D141" s="254"/>
      <c r="E141" s="254"/>
      <c r="F141" s="254"/>
      <c r="G141" s="254"/>
    </row>
    <row r="142" spans="1:7" x14ac:dyDescent="0.25">
      <c r="A142" s="253" t="s">
        <v>22</v>
      </c>
      <c r="B142" s="253"/>
      <c r="C142" s="253"/>
      <c r="D142" s="253"/>
      <c r="E142" s="253"/>
      <c r="F142" s="253"/>
      <c r="G142" s="18">
        <v>0</v>
      </c>
    </row>
    <row r="143" spans="1:7" x14ac:dyDescent="0.25">
      <c r="A143" s="15">
        <v>5</v>
      </c>
      <c r="B143" s="35" t="s">
        <v>84</v>
      </c>
      <c r="C143" s="35"/>
      <c r="D143" s="15" t="s">
        <v>26</v>
      </c>
      <c r="E143" s="36"/>
      <c r="F143" s="37"/>
      <c r="G143" s="38">
        <f>SUM(E143:F143)</f>
        <v>0</v>
      </c>
    </row>
    <row r="144" spans="1:7" x14ac:dyDescent="0.25">
      <c r="A144" s="21" t="s">
        <v>32</v>
      </c>
      <c r="B144" s="34" t="s">
        <v>3</v>
      </c>
      <c r="C144" s="22" t="s">
        <v>19</v>
      </c>
      <c r="D144" s="21"/>
      <c r="E144" s="23">
        <v>0</v>
      </c>
      <c r="F144" s="24">
        <v>27813.56</v>
      </c>
      <c r="G144" s="25">
        <f>-SUM(E144:F144)</f>
        <v>-27813.56</v>
      </c>
    </row>
    <row r="145" spans="1:7" x14ac:dyDescent="0.25">
      <c r="A145" s="253" t="s">
        <v>22</v>
      </c>
      <c r="B145" s="253"/>
      <c r="C145" s="253"/>
      <c r="D145" s="16"/>
      <c r="E145" s="17">
        <f>E144</f>
        <v>0</v>
      </c>
      <c r="F145" s="17">
        <f>F144</f>
        <v>27813.56</v>
      </c>
      <c r="G145" s="18">
        <f>E145+F145</f>
        <v>27813.56</v>
      </c>
    </row>
    <row r="146" spans="1:7" x14ac:dyDescent="0.25">
      <c r="A146" s="259" t="s">
        <v>1</v>
      </c>
      <c r="B146" s="259"/>
      <c r="C146" s="259"/>
      <c r="D146" s="259"/>
      <c r="E146" s="8">
        <f>E129+E131+E140+E145</f>
        <v>0</v>
      </c>
      <c r="F146" s="9">
        <f>F140+F145+F131+F129</f>
        <v>526173.85000000009</v>
      </c>
      <c r="G146" s="8">
        <f>E146+F146</f>
        <v>526173.85000000009</v>
      </c>
    </row>
    <row r="147" spans="1:7" s="1" customFormat="1" x14ac:dyDescent="0.25">
      <c r="A147" s="266" t="s">
        <v>33</v>
      </c>
      <c r="B147" s="266"/>
      <c r="C147" s="266"/>
      <c r="D147" s="266"/>
      <c r="E147" s="266"/>
      <c r="F147" s="266"/>
      <c r="G147" s="266"/>
    </row>
    <row r="148" spans="1:7" x14ac:dyDescent="0.25">
      <c r="A148" s="12"/>
      <c r="B148" s="12"/>
      <c r="C148" s="11"/>
      <c r="D148" s="12"/>
      <c r="E148" s="12"/>
      <c r="F148" s="12"/>
      <c r="G148" s="12"/>
    </row>
    <row r="149" spans="1:7" x14ac:dyDescent="0.25">
      <c r="A149" s="258" t="s">
        <v>56</v>
      </c>
      <c r="B149" s="258"/>
      <c r="C149" s="258"/>
      <c r="D149" s="258"/>
      <c r="E149" s="258"/>
      <c r="F149" s="258"/>
      <c r="G149" s="258"/>
    </row>
    <row r="150" spans="1:7" ht="38.25" x14ac:dyDescent="0.25">
      <c r="A150" s="13" t="s">
        <v>27</v>
      </c>
      <c r="B150" s="13" t="s">
        <v>28</v>
      </c>
      <c r="C150" s="13" t="s">
        <v>29</v>
      </c>
      <c r="D150" s="13" t="s">
        <v>2</v>
      </c>
      <c r="E150" s="14" t="s">
        <v>37</v>
      </c>
      <c r="F150" s="14" t="s">
        <v>38</v>
      </c>
      <c r="G150" s="14" t="s">
        <v>39</v>
      </c>
    </row>
    <row r="151" spans="1:7" x14ac:dyDescent="0.25">
      <c r="A151" s="15">
        <v>1</v>
      </c>
      <c r="B151" s="254" t="s">
        <v>80</v>
      </c>
      <c r="C151" s="254"/>
      <c r="D151" s="254"/>
      <c r="E151" s="254"/>
      <c r="F151" s="254"/>
      <c r="G151" s="254"/>
    </row>
    <row r="152" spans="1:7" x14ac:dyDescent="0.25">
      <c r="A152" s="21" t="s">
        <v>48</v>
      </c>
      <c r="B152" s="22" t="s">
        <v>85</v>
      </c>
      <c r="C152" s="22" t="s">
        <v>62</v>
      </c>
      <c r="D152" s="41"/>
      <c r="E152" s="49">
        <v>0</v>
      </c>
      <c r="F152" s="42">
        <v>26985</v>
      </c>
      <c r="G152" s="43">
        <f>E152+F152</f>
        <v>26985</v>
      </c>
    </row>
    <row r="153" spans="1:7" s="1" customFormat="1" x14ac:dyDescent="0.25">
      <c r="A153" s="21" t="s">
        <v>70</v>
      </c>
      <c r="B153" s="22" t="s">
        <v>63</v>
      </c>
      <c r="C153" s="22" t="s">
        <v>46</v>
      </c>
      <c r="D153" s="41"/>
      <c r="E153" s="49">
        <v>0</v>
      </c>
      <c r="F153" s="42">
        <v>46305.14</v>
      </c>
      <c r="G153" s="43">
        <f>E153+F153</f>
        <v>46305.14</v>
      </c>
    </row>
    <row r="154" spans="1:7" x14ac:dyDescent="0.25">
      <c r="A154" s="253" t="s">
        <v>22</v>
      </c>
      <c r="B154" s="253"/>
      <c r="C154" s="253"/>
      <c r="D154" s="16"/>
      <c r="E154" s="17">
        <f>0</f>
        <v>0</v>
      </c>
      <c r="F154" s="17">
        <f>F152+F153</f>
        <v>73290.14</v>
      </c>
      <c r="G154" s="18">
        <f>G152+G153</f>
        <v>73290.14</v>
      </c>
    </row>
    <row r="155" spans="1:7" x14ac:dyDescent="0.25">
      <c r="A155" s="15">
        <v>2</v>
      </c>
      <c r="B155" s="254" t="s">
        <v>81</v>
      </c>
      <c r="C155" s="254"/>
      <c r="D155" s="254"/>
      <c r="E155" s="254"/>
      <c r="F155" s="254"/>
      <c r="G155" s="254"/>
    </row>
    <row r="156" spans="1:7" x14ac:dyDescent="0.25">
      <c r="A156" s="253" t="s">
        <v>22</v>
      </c>
      <c r="B156" s="253"/>
      <c r="C156" s="253"/>
      <c r="D156" s="16"/>
      <c r="E156" s="19">
        <f>0</f>
        <v>0</v>
      </c>
      <c r="F156" s="19">
        <f>0</f>
        <v>0</v>
      </c>
      <c r="G156" s="20">
        <f>G155</f>
        <v>0</v>
      </c>
    </row>
    <row r="157" spans="1:7" x14ac:dyDescent="0.25">
      <c r="A157" s="15">
        <v>3</v>
      </c>
      <c r="B157" s="254" t="s">
        <v>82</v>
      </c>
      <c r="C157" s="254"/>
      <c r="D157" s="254"/>
      <c r="E157" s="254"/>
      <c r="F157" s="254"/>
      <c r="G157" s="254"/>
    </row>
    <row r="158" spans="1:7" x14ac:dyDescent="0.25">
      <c r="A158" s="27" t="s">
        <v>5</v>
      </c>
      <c r="B158" s="26" t="s">
        <v>15</v>
      </c>
      <c r="C158" s="26" t="s">
        <v>16</v>
      </c>
      <c r="D158" s="27" t="s">
        <v>17</v>
      </c>
      <c r="E158" s="28">
        <v>0</v>
      </c>
      <c r="F158" s="29">
        <v>37440</v>
      </c>
      <c r="G158" s="30">
        <f t="shared" ref="G158:G164" si="6">SUM(E158:F158)</f>
        <v>37440</v>
      </c>
    </row>
    <row r="159" spans="1:7" x14ac:dyDescent="0.25">
      <c r="A159" s="21" t="s">
        <v>18</v>
      </c>
      <c r="B159" s="34" t="s">
        <v>51</v>
      </c>
      <c r="C159" s="22" t="s">
        <v>86</v>
      </c>
      <c r="D159" s="21" t="s">
        <v>12</v>
      </c>
      <c r="E159" s="23">
        <v>0</v>
      </c>
      <c r="F159" s="24">
        <v>71307.509999999995</v>
      </c>
      <c r="G159" s="25">
        <f t="shared" si="6"/>
        <v>71307.509999999995</v>
      </c>
    </row>
    <row r="160" spans="1:7" x14ac:dyDescent="0.25">
      <c r="A160" s="256" t="s">
        <v>23</v>
      </c>
      <c r="B160" s="257" t="s">
        <v>10</v>
      </c>
      <c r="C160" s="26" t="s">
        <v>11</v>
      </c>
      <c r="D160" s="27" t="s">
        <v>20</v>
      </c>
      <c r="E160" s="28">
        <v>0</v>
      </c>
      <c r="F160" s="29">
        <v>50805.98</v>
      </c>
      <c r="G160" s="30">
        <f t="shared" si="6"/>
        <v>50805.98</v>
      </c>
    </row>
    <row r="161" spans="1:7" x14ac:dyDescent="0.25">
      <c r="A161" s="256"/>
      <c r="B161" s="257"/>
      <c r="C161" s="26" t="s">
        <v>86</v>
      </c>
      <c r="D161" s="27"/>
      <c r="E161" s="28">
        <v>0</v>
      </c>
      <c r="F161" s="29">
        <v>19757.18</v>
      </c>
      <c r="G161" s="30">
        <f t="shared" si="6"/>
        <v>19757.18</v>
      </c>
    </row>
    <row r="162" spans="1:7" x14ac:dyDescent="0.25">
      <c r="A162" s="21" t="s">
        <v>24</v>
      </c>
      <c r="B162" s="34" t="s">
        <v>13</v>
      </c>
      <c r="C162" s="22" t="s">
        <v>14</v>
      </c>
      <c r="D162" s="21" t="s">
        <v>21</v>
      </c>
      <c r="E162" s="23">
        <v>0</v>
      </c>
      <c r="F162" s="24">
        <v>10786.2</v>
      </c>
      <c r="G162" s="25">
        <f t="shared" si="6"/>
        <v>10786.2</v>
      </c>
    </row>
    <row r="163" spans="1:7" x14ac:dyDescent="0.25">
      <c r="A163" s="27" t="s">
        <v>25</v>
      </c>
      <c r="B163" s="33" t="s">
        <v>0</v>
      </c>
      <c r="C163" s="26" t="s">
        <v>31</v>
      </c>
      <c r="D163" s="27"/>
      <c r="E163" s="28">
        <v>0</v>
      </c>
      <c r="F163" s="29">
        <v>240358</v>
      </c>
      <c r="G163" s="30">
        <f t="shared" si="6"/>
        <v>240358</v>
      </c>
    </row>
    <row r="164" spans="1:7" x14ac:dyDescent="0.25">
      <c r="A164" s="21" t="s">
        <v>41</v>
      </c>
      <c r="B164" s="34" t="s">
        <v>42</v>
      </c>
      <c r="C164" s="22" t="s">
        <v>43</v>
      </c>
      <c r="D164" s="21"/>
      <c r="E164" s="23">
        <v>0</v>
      </c>
      <c r="F164" s="24">
        <v>34761.599999999999</v>
      </c>
      <c r="G164" s="25">
        <f t="shared" si="6"/>
        <v>34761.599999999999</v>
      </c>
    </row>
    <row r="165" spans="1:7" x14ac:dyDescent="0.25">
      <c r="A165" s="253" t="s">
        <v>22</v>
      </c>
      <c r="B165" s="253"/>
      <c r="C165" s="253"/>
      <c r="D165" s="16"/>
      <c r="E165" s="17">
        <f>SUM(E158:E164)</f>
        <v>0</v>
      </c>
      <c r="F165" s="17">
        <f>SUM(F158:F164)</f>
        <v>465216.47</v>
      </c>
      <c r="G165" s="18">
        <f>SUM(G157:G164)</f>
        <v>465216.47</v>
      </c>
    </row>
    <row r="166" spans="1:7" x14ac:dyDescent="0.25">
      <c r="A166" s="15">
        <v>4</v>
      </c>
      <c r="B166" s="254" t="s">
        <v>83</v>
      </c>
      <c r="C166" s="254"/>
      <c r="D166" s="254"/>
      <c r="E166" s="254"/>
      <c r="F166" s="254"/>
      <c r="G166" s="254"/>
    </row>
    <row r="167" spans="1:7" x14ac:dyDescent="0.25">
      <c r="A167" s="253" t="s">
        <v>22</v>
      </c>
      <c r="B167" s="253"/>
      <c r="C167" s="253"/>
      <c r="D167" s="253"/>
      <c r="E167" s="253"/>
      <c r="F167" s="253"/>
      <c r="G167" s="18">
        <v>0</v>
      </c>
    </row>
    <row r="168" spans="1:7" x14ac:dyDescent="0.25">
      <c r="A168" s="15">
        <v>5</v>
      </c>
      <c r="B168" s="35" t="s">
        <v>84</v>
      </c>
      <c r="C168" s="35"/>
      <c r="D168" s="15" t="s">
        <v>26</v>
      </c>
      <c r="E168" s="36"/>
      <c r="F168" s="37"/>
      <c r="G168" s="38">
        <f>SUM(E168:F168)</f>
        <v>0</v>
      </c>
    </row>
    <row r="169" spans="1:7" x14ac:dyDescent="0.25">
      <c r="A169" s="21" t="s">
        <v>32</v>
      </c>
      <c r="B169" s="34" t="s">
        <v>3</v>
      </c>
      <c r="C169" s="22" t="s">
        <v>19</v>
      </c>
      <c r="D169" s="21"/>
      <c r="E169" s="23">
        <v>0</v>
      </c>
      <c r="F169" s="24">
        <v>23851.61</v>
      </c>
      <c r="G169" s="25">
        <f>-SUM(E169:F169)</f>
        <v>-23851.61</v>
      </c>
    </row>
    <row r="170" spans="1:7" x14ac:dyDescent="0.25">
      <c r="A170" s="253" t="s">
        <v>22</v>
      </c>
      <c r="B170" s="253"/>
      <c r="C170" s="253"/>
      <c r="D170" s="16"/>
      <c r="E170" s="17">
        <f>E169</f>
        <v>0</v>
      </c>
      <c r="F170" s="17">
        <f>F169</f>
        <v>23851.61</v>
      </c>
      <c r="G170" s="18">
        <f>E170+F170</f>
        <v>23851.61</v>
      </c>
    </row>
    <row r="171" spans="1:7" x14ac:dyDescent="0.25">
      <c r="A171" s="255" t="s">
        <v>1</v>
      </c>
      <c r="B171" s="255"/>
      <c r="C171" s="255"/>
      <c r="D171" s="255"/>
      <c r="E171" s="39">
        <f>E154+E156+E165+E170</f>
        <v>0</v>
      </c>
      <c r="F171" s="40">
        <f>F165+F170+F156+F154</f>
        <v>562358.22</v>
      </c>
      <c r="G171" s="39">
        <f>E171+F171</f>
        <v>562358.22</v>
      </c>
    </row>
    <row r="172" spans="1:7" s="1" customFormat="1" x14ac:dyDescent="0.25">
      <c r="A172" s="266" t="s">
        <v>33</v>
      </c>
      <c r="B172" s="266"/>
      <c r="C172" s="266"/>
      <c r="D172" s="266"/>
      <c r="E172" s="266"/>
      <c r="F172" s="266"/>
      <c r="G172" s="266"/>
    </row>
    <row r="173" spans="1:7" x14ac:dyDescent="0.25">
      <c r="A173" s="12"/>
      <c r="B173" s="12"/>
      <c r="C173" s="11"/>
      <c r="D173" s="12"/>
      <c r="E173" s="12"/>
      <c r="F173" s="12"/>
      <c r="G173" s="12"/>
    </row>
    <row r="174" spans="1:7" x14ac:dyDescent="0.25">
      <c r="A174" s="258" t="s">
        <v>57</v>
      </c>
      <c r="B174" s="258"/>
      <c r="C174" s="258"/>
      <c r="D174" s="258"/>
      <c r="E174" s="258"/>
      <c r="F174" s="258"/>
      <c r="G174" s="258"/>
    </row>
    <row r="175" spans="1:7" ht="38.25" x14ac:dyDescent="0.25">
      <c r="A175" s="13" t="s">
        <v>27</v>
      </c>
      <c r="B175" s="13" t="s">
        <v>28</v>
      </c>
      <c r="C175" s="13" t="s">
        <v>29</v>
      </c>
      <c r="D175" s="13" t="s">
        <v>2</v>
      </c>
      <c r="E175" s="14" t="s">
        <v>37</v>
      </c>
      <c r="F175" s="14" t="s">
        <v>38</v>
      </c>
      <c r="G175" s="14" t="s">
        <v>39</v>
      </c>
    </row>
    <row r="176" spans="1:7" x14ac:dyDescent="0.25">
      <c r="A176" s="15">
        <v>1</v>
      </c>
      <c r="B176" s="254" t="s">
        <v>80</v>
      </c>
      <c r="C176" s="254"/>
      <c r="D176" s="254"/>
      <c r="E176" s="254"/>
      <c r="F176" s="254"/>
      <c r="G176" s="254"/>
    </row>
    <row r="177" spans="1:7" x14ac:dyDescent="0.25">
      <c r="A177" s="21" t="s">
        <v>48</v>
      </c>
      <c r="B177" s="22" t="s">
        <v>85</v>
      </c>
      <c r="C177" s="22" t="s">
        <v>62</v>
      </c>
      <c r="D177" s="41"/>
      <c r="E177" s="49">
        <v>0</v>
      </c>
      <c r="F177" s="42">
        <v>24168</v>
      </c>
      <c r="G177" s="43">
        <f>E177+F177</f>
        <v>24168</v>
      </c>
    </row>
    <row r="178" spans="1:7" s="1" customFormat="1" x14ac:dyDescent="0.25">
      <c r="A178" s="21" t="s">
        <v>70</v>
      </c>
      <c r="B178" s="22" t="s">
        <v>63</v>
      </c>
      <c r="C178" s="22" t="s">
        <v>87</v>
      </c>
      <c r="D178" s="41"/>
      <c r="E178" s="49">
        <v>0</v>
      </c>
      <c r="F178" s="42">
        <v>46800</v>
      </c>
      <c r="G178" s="43">
        <f>E178+F178</f>
        <v>46800</v>
      </c>
    </row>
    <row r="179" spans="1:7" x14ac:dyDescent="0.25">
      <c r="A179" s="253" t="s">
        <v>22</v>
      </c>
      <c r="B179" s="253"/>
      <c r="C179" s="253"/>
      <c r="D179" s="16"/>
      <c r="E179" s="17">
        <f>0</f>
        <v>0</v>
      </c>
      <c r="F179" s="17">
        <f>F177+F178</f>
        <v>70968</v>
      </c>
      <c r="G179" s="18">
        <f>G177+G178</f>
        <v>70968</v>
      </c>
    </row>
    <row r="180" spans="1:7" x14ac:dyDescent="0.25">
      <c r="A180" s="15">
        <v>2</v>
      </c>
      <c r="B180" s="254" t="s">
        <v>81</v>
      </c>
      <c r="C180" s="254"/>
      <c r="D180" s="254"/>
      <c r="E180" s="254"/>
      <c r="F180" s="254"/>
      <c r="G180" s="254"/>
    </row>
    <row r="181" spans="1:7" x14ac:dyDescent="0.25">
      <c r="A181" s="253" t="s">
        <v>22</v>
      </c>
      <c r="B181" s="253"/>
      <c r="C181" s="253"/>
      <c r="D181" s="16"/>
      <c r="E181" s="19">
        <f>0</f>
        <v>0</v>
      </c>
      <c r="F181" s="19">
        <f>0</f>
        <v>0</v>
      </c>
      <c r="G181" s="20">
        <f>G180</f>
        <v>0</v>
      </c>
    </row>
    <row r="182" spans="1:7" x14ac:dyDescent="0.25">
      <c r="A182" s="15">
        <v>3</v>
      </c>
      <c r="B182" s="254" t="s">
        <v>82</v>
      </c>
      <c r="C182" s="254"/>
      <c r="D182" s="254"/>
      <c r="E182" s="254"/>
      <c r="F182" s="254"/>
      <c r="G182" s="254"/>
    </row>
    <row r="183" spans="1:7" x14ac:dyDescent="0.25">
      <c r="A183" s="27" t="s">
        <v>4</v>
      </c>
      <c r="B183" s="26" t="s">
        <v>15</v>
      </c>
      <c r="C183" s="26" t="s">
        <v>16</v>
      </c>
      <c r="D183" s="27" t="s">
        <v>17</v>
      </c>
      <c r="E183" s="28">
        <v>0</v>
      </c>
      <c r="F183" s="29">
        <v>37440</v>
      </c>
      <c r="G183" s="30">
        <f t="shared" ref="G183:G189" si="7">SUM(E183:F183)</f>
        <v>37440</v>
      </c>
    </row>
    <row r="184" spans="1:7" x14ac:dyDescent="0.25">
      <c r="A184" s="21" t="s">
        <v>5</v>
      </c>
      <c r="B184" s="34" t="s">
        <v>51</v>
      </c>
      <c r="C184" s="22" t="s">
        <v>86</v>
      </c>
      <c r="D184" s="21" t="s">
        <v>12</v>
      </c>
      <c r="E184" s="23">
        <v>0</v>
      </c>
      <c r="F184" s="24">
        <v>76263.570000000007</v>
      </c>
      <c r="G184" s="25">
        <f t="shared" si="7"/>
        <v>76263.570000000007</v>
      </c>
    </row>
    <row r="185" spans="1:7" x14ac:dyDescent="0.25">
      <c r="A185" s="256" t="s">
        <v>6</v>
      </c>
      <c r="B185" s="257" t="s">
        <v>10</v>
      </c>
      <c r="C185" s="26" t="s">
        <v>11</v>
      </c>
      <c r="D185" s="27" t="s">
        <v>20</v>
      </c>
      <c r="E185" s="28">
        <v>0</v>
      </c>
      <c r="F185" s="29">
        <v>0</v>
      </c>
      <c r="G185" s="30">
        <f t="shared" si="7"/>
        <v>0</v>
      </c>
    </row>
    <row r="186" spans="1:7" x14ac:dyDescent="0.25">
      <c r="A186" s="256"/>
      <c r="B186" s="257"/>
      <c r="C186" s="26" t="s">
        <v>86</v>
      </c>
      <c r="D186" s="27"/>
      <c r="E186" s="28">
        <v>0</v>
      </c>
      <c r="F186" s="29">
        <v>19757.18</v>
      </c>
      <c r="G186" s="30">
        <f t="shared" si="7"/>
        <v>19757.18</v>
      </c>
    </row>
    <row r="187" spans="1:7" x14ac:dyDescent="0.25">
      <c r="A187" s="21" t="s">
        <v>18</v>
      </c>
      <c r="B187" s="34" t="s">
        <v>13</v>
      </c>
      <c r="C187" s="22" t="s">
        <v>14</v>
      </c>
      <c r="D187" s="21" t="s">
        <v>21</v>
      </c>
      <c r="E187" s="23">
        <v>0</v>
      </c>
      <c r="F187" s="24">
        <v>9416.7999999999993</v>
      </c>
      <c r="G187" s="25">
        <f t="shared" si="7"/>
        <v>9416.7999999999993</v>
      </c>
    </row>
    <row r="188" spans="1:7" x14ac:dyDescent="0.25">
      <c r="A188" s="27" t="s">
        <v>23</v>
      </c>
      <c r="B188" s="33" t="s">
        <v>0</v>
      </c>
      <c r="C188" s="26" t="s">
        <v>31</v>
      </c>
      <c r="D188" s="27"/>
      <c r="E188" s="28">
        <v>0</v>
      </c>
      <c r="F188" s="29">
        <v>239465.26</v>
      </c>
      <c r="G188" s="30">
        <f t="shared" si="7"/>
        <v>239465.26</v>
      </c>
    </row>
    <row r="189" spans="1:7" x14ac:dyDescent="0.25">
      <c r="A189" s="21" t="s">
        <v>24</v>
      </c>
      <c r="B189" s="34" t="s">
        <v>42</v>
      </c>
      <c r="C189" s="22" t="s">
        <v>43</v>
      </c>
      <c r="D189" s="21"/>
      <c r="E189" s="23">
        <v>0</v>
      </c>
      <c r="F189" s="24">
        <v>29541.599999999999</v>
      </c>
      <c r="G189" s="25">
        <f t="shared" si="7"/>
        <v>29541.599999999999</v>
      </c>
    </row>
    <row r="190" spans="1:7" x14ac:dyDescent="0.25">
      <c r="A190" s="253" t="s">
        <v>22</v>
      </c>
      <c r="B190" s="253"/>
      <c r="C190" s="253"/>
      <c r="D190" s="16"/>
      <c r="E190" s="17">
        <f>SUM(E183:E189)</f>
        <v>0</v>
      </c>
      <c r="F190" s="17">
        <f>SUM(F183:F189)</f>
        <v>411884.41</v>
      </c>
      <c r="G190" s="18">
        <f>SUM(G182:G189)</f>
        <v>411884.41</v>
      </c>
    </row>
    <row r="191" spans="1:7" x14ac:dyDescent="0.25">
      <c r="A191" s="15">
        <v>4</v>
      </c>
      <c r="B191" s="254" t="s">
        <v>83</v>
      </c>
      <c r="C191" s="254"/>
      <c r="D191" s="254"/>
      <c r="E191" s="254"/>
      <c r="F191" s="254"/>
      <c r="G191" s="254"/>
    </row>
    <row r="192" spans="1:7" x14ac:dyDescent="0.25">
      <c r="A192" s="253" t="s">
        <v>22</v>
      </c>
      <c r="B192" s="253"/>
      <c r="C192" s="253"/>
      <c r="D192" s="253"/>
      <c r="E192" s="253"/>
      <c r="F192" s="253"/>
      <c r="G192" s="18">
        <v>0</v>
      </c>
    </row>
    <row r="193" spans="1:7" x14ac:dyDescent="0.25">
      <c r="A193" s="15">
        <v>5</v>
      </c>
      <c r="B193" s="35" t="s">
        <v>84</v>
      </c>
      <c r="C193" s="35"/>
      <c r="D193" s="15" t="s">
        <v>26</v>
      </c>
      <c r="E193" s="36"/>
      <c r="F193" s="37"/>
      <c r="G193" s="38">
        <f>SUM(E193:F193)</f>
        <v>0</v>
      </c>
    </row>
    <row r="194" spans="1:7" x14ac:dyDescent="0.25">
      <c r="A194" s="21" t="s">
        <v>32</v>
      </c>
      <c r="B194" s="34" t="s">
        <v>3</v>
      </c>
      <c r="C194" s="22" t="s">
        <v>19</v>
      </c>
      <c r="D194" s="21"/>
      <c r="E194" s="23">
        <v>0</v>
      </c>
      <c r="F194" s="24">
        <v>31437.35</v>
      </c>
      <c r="G194" s="25">
        <f>-SUM(E194:F194)</f>
        <v>-31437.35</v>
      </c>
    </row>
    <row r="195" spans="1:7" x14ac:dyDescent="0.25">
      <c r="A195" s="253" t="s">
        <v>22</v>
      </c>
      <c r="B195" s="253"/>
      <c r="C195" s="253"/>
      <c r="D195" s="16"/>
      <c r="E195" s="17">
        <f>E194</f>
        <v>0</v>
      </c>
      <c r="F195" s="17">
        <f>F194</f>
        <v>31437.35</v>
      </c>
      <c r="G195" s="18">
        <f>E195+F195</f>
        <v>31437.35</v>
      </c>
    </row>
    <row r="196" spans="1:7" x14ac:dyDescent="0.25">
      <c r="A196" s="255" t="s">
        <v>1</v>
      </c>
      <c r="B196" s="255"/>
      <c r="C196" s="255"/>
      <c r="D196" s="255"/>
      <c r="E196" s="39">
        <f>E179+E181+E190+E195</f>
        <v>0</v>
      </c>
      <c r="F196" s="40">
        <f>F190+F195+F181+F179</f>
        <v>514289.75999999995</v>
      </c>
      <c r="G196" s="39">
        <f>E196+F196</f>
        <v>514289.75999999995</v>
      </c>
    </row>
    <row r="197" spans="1:7" s="1" customFormat="1" x14ac:dyDescent="0.25">
      <c r="A197" s="266" t="s">
        <v>33</v>
      </c>
      <c r="B197" s="266"/>
      <c r="C197" s="266"/>
      <c r="D197" s="266"/>
      <c r="E197" s="266"/>
      <c r="F197" s="266"/>
      <c r="G197" s="266"/>
    </row>
    <row r="198" spans="1:7" x14ac:dyDescent="0.25">
      <c r="A198" s="12"/>
      <c r="B198" s="12"/>
      <c r="C198" s="11"/>
      <c r="D198" s="12"/>
      <c r="E198" s="12"/>
      <c r="F198" s="12"/>
      <c r="G198" s="12"/>
    </row>
    <row r="199" spans="1:7" x14ac:dyDescent="0.25">
      <c r="A199" s="258" t="s">
        <v>58</v>
      </c>
      <c r="B199" s="258"/>
      <c r="C199" s="258"/>
      <c r="D199" s="258"/>
      <c r="E199" s="258"/>
      <c r="F199" s="258"/>
      <c r="G199" s="258"/>
    </row>
    <row r="200" spans="1:7" ht="38.25" x14ac:dyDescent="0.25">
      <c r="A200" s="13" t="s">
        <v>27</v>
      </c>
      <c r="B200" s="13" t="s">
        <v>28</v>
      </c>
      <c r="C200" s="13" t="s">
        <v>29</v>
      </c>
      <c r="D200" s="13" t="s">
        <v>2</v>
      </c>
      <c r="E200" s="14" t="s">
        <v>37</v>
      </c>
      <c r="F200" s="14" t="s">
        <v>38</v>
      </c>
      <c r="G200" s="14" t="s">
        <v>39</v>
      </c>
    </row>
    <row r="201" spans="1:7" x14ac:dyDescent="0.25">
      <c r="A201" s="15">
        <v>1</v>
      </c>
      <c r="B201" s="254" t="s">
        <v>80</v>
      </c>
      <c r="C201" s="254"/>
      <c r="D201" s="254"/>
      <c r="E201" s="254"/>
      <c r="F201" s="254"/>
      <c r="G201" s="254"/>
    </row>
    <row r="202" spans="1:7" x14ac:dyDescent="0.25">
      <c r="A202" s="21" t="s">
        <v>48</v>
      </c>
      <c r="B202" s="22" t="s">
        <v>85</v>
      </c>
      <c r="C202" s="22" t="s">
        <v>62</v>
      </c>
      <c r="D202" s="41"/>
      <c r="E202" s="49">
        <v>0</v>
      </c>
      <c r="F202" s="42">
        <v>26301</v>
      </c>
      <c r="G202" s="43">
        <f>E202+F202</f>
        <v>26301</v>
      </c>
    </row>
    <row r="203" spans="1:7" x14ac:dyDescent="0.25">
      <c r="A203" s="253" t="s">
        <v>22</v>
      </c>
      <c r="B203" s="253"/>
      <c r="C203" s="253"/>
      <c r="D203" s="16"/>
      <c r="E203" s="17">
        <f>0</f>
        <v>0</v>
      </c>
      <c r="F203" s="17">
        <f>F202</f>
        <v>26301</v>
      </c>
      <c r="G203" s="18">
        <f>G202</f>
        <v>26301</v>
      </c>
    </row>
    <row r="204" spans="1:7" x14ac:dyDescent="0.25">
      <c r="A204" s="15">
        <v>2</v>
      </c>
      <c r="B204" s="254" t="s">
        <v>81</v>
      </c>
      <c r="C204" s="254"/>
      <c r="D204" s="254"/>
      <c r="E204" s="254"/>
      <c r="F204" s="254"/>
      <c r="G204" s="254"/>
    </row>
    <row r="205" spans="1:7" x14ac:dyDescent="0.25">
      <c r="A205" s="253" t="s">
        <v>22</v>
      </c>
      <c r="B205" s="253"/>
      <c r="C205" s="253"/>
      <c r="D205" s="16"/>
      <c r="E205" s="19">
        <f>0</f>
        <v>0</v>
      </c>
      <c r="F205" s="19">
        <f>0</f>
        <v>0</v>
      </c>
      <c r="G205" s="20">
        <f>G204</f>
        <v>0</v>
      </c>
    </row>
    <row r="206" spans="1:7" x14ac:dyDescent="0.25">
      <c r="A206" s="15">
        <v>3</v>
      </c>
      <c r="B206" s="254" t="s">
        <v>82</v>
      </c>
      <c r="C206" s="254"/>
      <c r="D206" s="254"/>
      <c r="E206" s="254"/>
      <c r="F206" s="254"/>
      <c r="G206" s="254"/>
    </row>
    <row r="207" spans="1:7" x14ac:dyDescent="0.25">
      <c r="A207" s="27" t="s">
        <v>4</v>
      </c>
      <c r="B207" s="26" t="s">
        <v>15</v>
      </c>
      <c r="C207" s="26" t="s">
        <v>16</v>
      </c>
      <c r="D207" s="27" t="s">
        <v>17</v>
      </c>
      <c r="E207" s="28">
        <v>0</v>
      </c>
      <c r="F207" s="29">
        <v>37440</v>
      </c>
      <c r="G207" s="30">
        <f t="shared" ref="G207:G214" si="8">SUM(E207:F207)</f>
        <v>37440</v>
      </c>
    </row>
    <row r="208" spans="1:7" x14ac:dyDescent="0.25">
      <c r="A208" s="21" t="s">
        <v>5</v>
      </c>
      <c r="B208" s="34" t="s">
        <v>51</v>
      </c>
      <c r="C208" s="22" t="s">
        <v>86</v>
      </c>
      <c r="D208" s="21" t="s">
        <v>12</v>
      </c>
      <c r="E208" s="23">
        <v>0</v>
      </c>
      <c r="F208" s="24">
        <v>76263.570000000007</v>
      </c>
      <c r="G208" s="25">
        <f t="shared" si="8"/>
        <v>76263.570000000007</v>
      </c>
    </row>
    <row r="209" spans="1:7" x14ac:dyDescent="0.25">
      <c r="A209" s="256" t="s">
        <v>6</v>
      </c>
      <c r="B209" s="257" t="s">
        <v>10</v>
      </c>
      <c r="C209" s="26" t="s">
        <v>11</v>
      </c>
      <c r="D209" s="27" t="s">
        <v>20</v>
      </c>
      <c r="E209" s="28">
        <v>0</v>
      </c>
      <c r="F209" s="29">
        <v>0</v>
      </c>
      <c r="G209" s="30">
        <f t="shared" si="8"/>
        <v>0</v>
      </c>
    </row>
    <row r="210" spans="1:7" x14ac:dyDescent="0.25">
      <c r="A210" s="256"/>
      <c r="B210" s="257"/>
      <c r="C210" s="26" t="s">
        <v>86</v>
      </c>
      <c r="D210" s="27"/>
      <c r="E210" s="28">
        <v>0</v>
      </c>
      <c r="F210" s="29">
        <v>19757.18</v>
      </c>
      <c r="G210" s="30">
        <f t="shared" si="8"/>
        <v>19757.18</v>
      </c>
    </row>
    <row r="211" spans="1:7" x14ac:dyDescent="0.25">
      <c r="A211" s="21" t="s">
        <v>18</v>
      </c>
      <c r="B211" s="34" t="s">
        <v>13</v>
      </c>
      <c r="C211" s="22" t="s">
        <v>14</v>
      </c>
      <c r="D211" s="21" t="s">
        <v>21</v>
      </c>
      <c r="E211" s="23">
        <v>0</v>
      </c>
      <c r="F211" s="24">
        <v>8891.2999999999993</v>
      </c>
      <c r="G211" s="25">
        <f t="shared" si="8"/>
        <v>8891.2999999999993</v>
      </c>
    </row>
    <row r="212" spans="1:7" x14ac:dyDescent="0.25">
      <c r="A212" s="27" t="s">
        <v>23</v>
      </c>
      <c r="B212" s="33" t="s">
        <v>0</v>
      </c>
      <c r="C212" s="26" t="s">
        <v>31</v>
      </c>
      <c r="D212" s="27"/>
      <c r="E212" s="28">
        <v>0</v>
      </c>
      <c r="F212" s="29">
        <v>242757.62</v>
      </c>
      <c r="G212" s="30">
        <f t="shared" si="8"/>
        <v>242757.62</v>
      </c>
    </row>
    <row r="213" spans="1:7" x14ac:dyDescent="0.25">
      <c r="A213" s="21" t="s">
        <v>24</v>
      </c>
      <c r="B213" s="34" t="s">
        <v>42</v>
      </c>
      <c r="C213" s="22" t="s">
        <v>43</v>
      </c>
      <c r="D213" s="21"/>
      <c r="E213" s="23">
        <v>0</v>
      </c>
      <c r="F213" s="24">
        <v>40183.199999999997</v>
      </c>
      <c r="G213" s="25">
        <f t="shared" si="8"/>
        <v>40183.199999999997</v>
      </c>
    </row>
    <row r="214" spans="1:7" x14ac:dyDescent="0.25">
      <c r="A214" s="27" t="s">
        <v>25</v>
      </c>
      <c r="B214" s="33" t="s">
        <v>59</v>
      </c>
      <c r="C214" s="26" t="s">
        <v>60</v>
      </c>
      <c r="D214" s="27"/>
      <c r="E214" s="28">
        <v>0</v>
      </c>
      <c r="F214" s="29">
        <v>4480</v>
      </c>
      <c r="G214" s="30">
        <f t="shared" si="8"/>
        <v>4480</v>
      </c>
    </row>
    <row r="215" spans="1:7" x14ac:dyDescent="0.25">
      <c r="A215" s="253" t="s">
        <v>22</v>
      </c>
      <c r="B215" s="253"/>
      <c r="C215" s="253"/>
      <c r="D215" s="16"/>
      <c r="E215" s="17">
        <f>SUM(E207:E214)</f>
        <v>0</v>
      </c>
      <c r="F215" s="17">
        <f>SUM(F207:F214)</f>
        <v>429772.87</v>
      </c>
      <c r="G215" s="18">
        <f>SUM(G206:G214)</f>
        <v>429772.87</v>
      </c>
    </row>
    <row r="216" spans="1:7" x14ac:dyDescent="0.25">
      <c r="A216" s="15">
        <v>4</v>
      </c>
      <c r="B216" s="254" t="s">
        <v>83</v>
      </c>
      <c r="C216" s="254"/>
      <c r="D216" s="254"/>
      <c r="E216" s="254"/>
      <c r="F216" s="254"/>
      <c r="G216" s="254"/>
    </row>
    <row r="217" spans="1:7" x14ac:dyDescent="0.25">
      <c r="A217" s="253" t="s">
        <v>22</v>
      </c>
      <c r="B217" s="253"/>
      <c r="C217" s="253"/>
      <c r="D217" s="253"/>
      <c r="E217" s="253"/>
      <c r="F217" s="253"/>
      <c r="G217" s="18">
        <v>0</v>
      </c>
    </row>
    <row r="218" spans="1:7" x14ac:dyDescent="0.25">
      <c r="A218" s="15">
        <v>5</v>
      </c>
      <c r="B218" s="35" t="s">
        <v>84</v>
      </c>
      <c r="C218" s="35"/>
      <c r="D218" s="15" t="s">
        <v>26</v>
      </c>
      <c r="E218" s="36"/>
      <c r="F218" s="37"/>
      <c r="G218" s="38">
        <f>SUM(E218:F218)</f>
        <v>0</v>
      </c>
    </row>
    <row r="219" spans="1:7" x14ac:dyDescent="0.25">
      <c r="A219" s="21" t="s">
        <v>32</v>
      </c>
      <c r="B219" s="34" t="s">
        <v>3</v>
      </c>
      <c r="C219" s="22" t="s">
        <v>19</v>
      </c>
      <c r="D219" s="21"/>
      <c r="E219" s="23">
        <v>0</v>
      </c>
      <c r="F219" s="24">
        <v>29174.52</v>
      </c>
      <c r="G219" s="25">
        <f>-SUM(E219:F219)</f>
        <v>-29174.52</v>
      </c>
    </row>
    <row r="220" spans="1:7" x14ac:dyDescent="0.25">
      <c r="A220" s="253" t="s">
        <v>22</v>
      </c>
      <c r="B220" s="253"/>
      <c r="C220" s="253"/>
      <c r="D220" s="16"/>
      <c r="E220" s="17">
        <f>E219</f>
        <v>0</v>
      </c>
      <c r="F220" s="17">
        <f>F219</f>
        <v>29174.52</v>
      </c>
      <c r="G220" s="18">
        <f>E220+F220</f>
        <v>29174.52</v>
      </c>
    </row>
    <row r="221" spans="1:7" x14ac:dyDescent="0.25">
      <c r="A221" s="255" t="s">
        <v>1</v>
      </c>
      <c r="B221" s="255"/>
      <c r="C221" s="255"/>
      <c r="D221" s="255"/>
      <c r="E221" s="39">
        <f>E203+E205+E215+E220</f>
        <v>0</v>
      </c>
      <c r="F221" s="40">
        <f>F215+F220+F205+F203</f>
        <v>485248.39</v>
      </c>
      <c r="G221" s="39">
        <f>E221+F221</f>
        <v>485248.39</v>
      </c>
    </row>
    <row r="222" spans="1:7" s="1" customFormat="1" x14ac:dyDescent="0.25">
      <c r="A222" s="266" t="s">
        <v>33</v>
      </c>
      <c r="B222" s="266"/>
      <c r="C222" s="266"/>
      <c r="D222" s="266"/>
      <c r="E222" s="266"/>
      <c r="F222" s="266"/>
      <c r="G222" s="266"/>
    </row>
    <row r="223" spans="1:7" x14ac:dyDescent="0.25">
      <c r="A223" s="12"/>
      <c r="B223" s="12"/>
      <c r="C223" s="11"/>
      <c r="D223" s="12"/>
      <c r="E223" s="12"/>
      <c r="F223" s="12"/>
      <c r="G223" s="12"/>
    </row>
    <row r="224" spans="1:7" x14ac:dyDescent="0.25">
      <c r="A224" s="258" t="s">
        <v>61</v>
      </c>
      <c r="B224" s="258"/>
      <c r="C224" s="258"/>
      <c r="D224" s="258"/>
      <c r="E224" s="258"/>
      <c r="F224" s="258"/>
      <c r="G224" s="258"/>
    </row>
    <row r="225" spans="1:7" ht="38.25" x14ac:dyDescent="0.25">
      <c r="A225" s="13" t="s">
        <v>27</v>
      </c>
      <c r="B225" s="13" t="s">
        <v>28</v>
      </c>
      <c r="C225" s="13" t="s">
        <v>29</v>
      </c>
      <c r="D225" s="13" t="s">
        <v>2</v>
      </c>
      <c r="E225" s="14" t="s">
        <v>37</v>
      </c>
      <c r="F225" s="14" t="s">
        <v>38</v>
      </c>
      <c r="G225" s="14" t="s">
        <v>39</v>
      </c>
    </row>
    <row r="226" spans="1:7" x14ac:dyDescent="0.25">
      <c r="A226" s="15">
        <v>1</v>
      </c>
      <c r="B226" s="254" t="s">
        <v>80</v>
      </c>
      <c r="C226" s="254"/>
      <c r="D226" s="254"/>
      <c r="E226" s="254"/>
      <c r="F226" s="254"/>
      <c r="G226" s="254"/>
    </row>
    <row r="227" spans="1:7" x14ac:dyDescent="0.25">
      <c r="A227" s="21" t="s">
        <v>48</v>
      </c>
      <c r="B227" s="22" t="s">
        <v>63</v>
      </c>
      <c r="C227" s="22" t="s">
        <v>64</v>
      </c>
      <c r="D227" s="41"/>
      <c r="E227" s="49">
        <v>0</v>
      </c>
      <c r="F227" s="42">
        <f>12668+91210.2+73524.08</f>
        <v>177402.28</v>
      </c>
      <c r="G227" s="43">
        <f>E227+F227</f>
        <v>177402.28</v>
      </c>
    </row>
    <row r="228" spans="1:7" x14ac:dyDescent="0.25">
      <c r="A228" s="253" t="s">
        <v>22</v>
      </c>
      <c r="B228" s="253"/>
      <c r="C228" s="253"/>
      <c r="D228" s="16"/>
      <c r="E228" s="17">
        <f>0</f>
        <v>0</v>
      </c>
      <c r="F228" s="17">
        <f>F227</f>
        <v>177402.28</v>
      </c>
      <c r="G228" s="18">
        <f>G227</f>
        <v>177402.28</v>
      </c>
    </row>
    <row r="229" spans="1:7" x14ac:dyDescent="0.25">
      <c r="A229" s="15">
        <v>2</v>
      </c>
      <c r="B229" s="254" t="s">
        <v>81</v>
      </c>
      <c r="C229" s="254"/>
      <c r="D229" s="254"/>
      <c r="E229" s="254"/>
      <c r="F229" s="254"/>
      <c r="G229" s="254"/>
    </row>
    <row r="230" spans="1:7" x14ac:dyDescent="0.25">
      <c r="A230" s="253" t="s">
        <v>22</v>
      </c>
      <c r="B230" s="253"/>
      <c r="C230" s="253"/>
      <c r="D230" s="16"/>
      <c r="E230" s="19">
        <f>0</f>
        <v>0</v>
      </c>
      <c r="F230" s="19">
        <f>0</f>
        <v>0</v>
      </c>
      <c r="G230" s="20">
        <f>G229</f>
        <v>0</v>
      </c>
    </row>
    <row r="231" spans="1:7" x14ac:dyDescent="0.25">
      <c r="A231" s="15">
        <v>3</v>
      </c>
      <c r="B231" s="254" t="s">
        <v>82</v>
      </c>
      <c r="C231" s="254"/>
      <c r="D231" s="254"/>
      <c r="E231" s="254"/>
      <c r="F231" s="254"/>
      <c r="G231" s="254"/>
    </row>
    <row r="232" spans="1:7" x14ac:dyDescent="0.25">
      <c r="A232" s="21" t="s">
        <v>4</v>
      </c>
      <c r="B232" s="22" t="s">
        <v>15</v>
      </c>
      <c r="C232" s="22" t="s">
        <v>16</v>
      </c>
      <c r="D232" s="21" t="s">
        <v>17</v>
      </c>
      <c r="E232" s="23">
        <v>0</v>
      </c>
      <c r="F232" s="24">
        <v>37440</v>
      </c>
      <c r="G232" s="25">
        <f t="shared" ref="G232:G239" si="9">SUM(E232:F232)</f>
        <v>37440</v>
      </c>
    </row>
    <row r="233" spans="1:7" x14ac:dyDescent="0.25">
      <c r="A233" s="50" t="s">
        <v>5</v>
      </c>
      <c r="B233" s="51" t="s">
        <v>44</v>
      </c>
      <c r="C233" s="52" t="s">
        <v>65</v>
      </c>
      <c r="D233" s="50"/>
      <c r="E233" s="53">
        <v>0</v>
      </c>
      <c r="F233" s="54">
        <v>600</v>
      </c>
      <c r="G233" s="30">
        <f t="shared" si="9"/>
        <v>600</v>
      </c>
    </row>
    <row r="234" spans="1:7" x14ac:dyDescent="0.25">
      <c r="A234" s="21" t="s">
        <v>6</v>
      </c>
      <c r="B234" s="34" t="s">
        <v>51</v>
      </c>
      <c r="C234" s="22" t="s">
        <v>86</v>
      </c>
      <c r="D234" s="21" t="s">
        <v>12</v>
      </c>
      <c r="E234" s="23">
        <v>0</v>
      </c>
      <c r="F234" s="24">
        <v>76263.570000000007</v>
      </c>
      <c r="G234" s="25">
        <f t="shared" si="9"/>
        <v>76263.570000000007</v>
      </c>
    </row>
    <row r="235" spans="1:7" x14ac:dyDescent="0.25">
      <c r="A235" s="256" t="s">
        <v>18</v>
      </c>
      <c r="B235" s="257" t="s">
        <v>10</v>
      </c>
      <c r="C235" s="26" t="s">
        <v>11</v>
      </c>
      <c r="D235" s="27" t="s">
        <v>20</v>
      </c>
      <c r="E235" s="28">
        <v>0</v>
      </c>
      <c r="F235" s="29">
        <v>0</v>
      </c>
      <c r="G235" s="30">
        <f t="shared" si="9"/>
        <v>0</v>
      </c>
    </row>
    <row r="236" spans="1:7" x14ac:dyDescent="0.25">
      <c r="A236" s="256"/>
      <c r="B236" s="257"/>
      <c r="C236" s="26" t="s">
        <v>86</v>
      </c>
      <c r="D236" s="27"/>
      <c r="E236" s="28">
        <v>0</v>
      </c>
      <c r="F236" s="29">
        <v>19757.18</v>
      </c>
      <c r="G236" s="30">
        <f t="shared" si="9"/>
        <v>19757.18</v>
      </c>
    </row>
    <row r="237" spans="1:7" x14ac:dyDescent="0.25">
      <c r="A237" s="21" t="s">
        <v>23</v>
      </c>
      <c r="B237" s="34" t="s">
        <v>13</v>
      </c>
      <c r="C237" s="22" t="s">
        <v>14</v>
      </c>
      <c r="D237" s="21" t="s">
        <v>21</v>
      </c>
      <c r="E237" s="23">
        <v>0</v>
      </c>
      <c r="F237" s="24">
        <v>9131.9</v>
      </c>
      <c r="G237" s="25">
        <f t="shared" si="9"/>
        <v>9131.9</v>
      </c>
    </row>
    <row r="238" spans="1:7" x14ac:dyDescent="0.25">
      <c r="A238" s="27" t="s">
        <v>24</v>
      </c>
      <c r="B238" s="33" t="s">
        <v>0</v>
      </c>
      <c r="C238" s="26" t="s">
        <v>31</v>
      </c>
      <c r="D238" s="27"/>
      <c r="E238" s="28">
        <v>0</v>
      </c>
      <c r="F238" s="29">
        <v>318659</v>
      </c>
      <c r="G238" s="30">
        <f t="shared" si="9"/>
        <v>318659</v>
      </c>
    </row>
    <row r="239" spans="1:7" x14ac:dyDescent="0.25">
      <c r="A239" s="21" t="s">
        <v>25</v>
      </c>
      <c r="B239" s="34" t="s">
        <v>42</v>
      </c>
      <c r="C239" s="22" t="s">
        <v>43</v>
      </c>
      <c r="D239" s="21"/>
      <c r="E239" s="23">
        <v>0</v>
      </c>
      <c r="F239" s="24">
        <v>29714.400000000001</v>
      </c>
      <c r="G239" s="25">
        <f t="shared" si="9"/>
        <v>29714.400000000001</v>
      </c>
    </row>
    <row r="240" spans="1:7" x14ac:dyDescent="0.25">
      <c r="A240" s="253" t="s">
        <v>22</v>
      </c>
      <c r="B240" s="253"/>
      <c r="C240" s="253"/>
      <c r="D240" s="16"/>
      <c r="E240" s="17">
        <f>SUM(E232:E239)</f>
        <v>0</v>
      </c>
      <c r="F240" s="17">
        <f>SUM(F232:F239)</f>
        <v>491566.05000000005</v>
      </c>
      <c r="G240" s="18">
        <f>SUM(G231:G239)</f>
        <v>491566.05000000005</v>
      </c>
    </row>
    <row r="241" spans="1:7" x14ac:dyDescent="0.25">
      <c r="A241" s="15">
        <v>4</v>
      </c>
      <c r="B241" s="254" t="s">
        <v>83</v>
      </c>
      <c r="C241" s="254"/>
      <c r="D241" s="254"/>
      <c r="E241" s="254"/>
      <c r="F241" s="254"/>
      <c r="G241" s="254"/>
    </row>
    <row r="242" spans="1:7" s="1" customFormat="1" x14ac:dyDescent="0.25">
      <c r="A242" s="21" t="s">
        <v>66</v>
      </c>
      <c r="B242" s="22" t="s">
        <v>67</v>
      </c>
      <c r="C242" s="22" t="s">
        <v>68</v>
      </c>
      <c r="D242" s="41"/>
      <c r="E242" s="49">
        <v>0</v>
      </c>
      <c r="F242" s="42">
        <v>49500</v>
      </c>
      <c r="G242" s="43">
        <f>E242+F242</f>
        <v>49500</v>
      </c>
    </row>
    <row r="243" spans="1:7" x14ac:dyDescent="0.25">
      <c r="A243" s="253" t="s">
        <v>22</v>
      </c>
      <c r="B243" s="253"/>
      <c r="C243" s="253"/>
      <c r="D243" s="16"/>
      <c r="E243" s="17">
        <f>E242</f>
        <v>0</v>
      </c>
      <c r="F243" s="17">
        <f>F242</f>
        <v>49500</v>
      </c>
      <c r="G243" s="18">
        <f>G242</f>
        <v>49500</v>
      </c>
    </row>
    <row r="244" spans="1:7" x14ac:dyDescent="0.25">
      <c r="A244" s="15">
        <v>5</v>
      </c>
      <c r="B244" s="35" t="s">
        <v>84</v>
      </c>
      <c r="C244" s="35"/>
      <c r="D244" s="15" t="s">
        <v>26</v>
      </c>
      <c r="E244" s="36"/>
      <c r="F244" s="37"/>
      <c r="G244" s="38">
        <f>SUM(E244:F244)</f>
        <v>0</v>
      </c>
    </row>
    <row r="245" spans="1:7" x14ac:dyDescent="0.25">
      <c r="A245" s="21" t="s">
        <v>32</v>
      </c>
      <c r="B245" s="34" t="s">
        <v>3</v>
      </c>
      <c r="C245" s="22" t="s">
        <v>19</v>
      </c>
      <c r="D245" s="21"/>
      <c r="E245" s="23">
        <v>0</v>
      </c>
      <c r="F245" s="24">
        <v>29546.65</v>
      </c>
      <c r="G245" s="25">
        <f>-SUM(E245:F245)</f>
        <v>-29546.65</v>
      </c>
    </row>
    <row r="246" spans="1:7" x14ac:dyDescent="0.25">
      <c r="A246" s="253" t="s">
        <v>22</v>
      </c>
      <c r="B246" s="253"/>
      <c r="C246" s="253"/>
      <c r="D246" s="16"/>
      <c r="E246" s="17">
        <f>E245</f>
        <v>0</v>
      </c>
      <c r="F246" s="17">
        <f>F245</f>
        <v>29546.65</v>
      </c>
      <c r="G246" s="18">
        <f>E246+F246</f>
        <v>29546.65</v>
      </c>
    </row>
    <row r="247" spans="1:7" x14ac:dyDescent="0.25">
      <c r="A247" s="255" t="s">
        <v>1</v>
      </c>
      <c r="B247" s="255"/>
      <c r="C247" s="255"/>
      <c r="D247" s="255"/>
      <c r="E247" s="39">
        <f>E228+E230+E240+E246</f>
        <v>0</v>
      </c>
      <c r="F247" s="40">
        <f>F240+F246+F230+F228+F243</f>
        <v>748014.9800000001</v>
      </c>
      <c r="G247" s="39">
        <f>E247+F247</f>
        <v>748014.9800000001</v>
      </c>
    </row>
    <row r="248" spans="1:7" s="1" customFormat="1" x14ac:dyDescent="0.25">
      <c r="A248" s="266" t="s">
        <v>33</v>
      </c>
      <c r="B248" s="266"/>
      <c r="C248" s="266"/>
      <c r="D248" s="266"/>
      <c r="E248" s="266"/>
      <c r="F248" s="266"/>
      <c r="G248" s="266"/>
    </row>
    <row r="249" spans="1:7" x14ac:dyDescent="0.25">
      <c r="A249" s="12"/>
      <c r="B249" s="12"/>
      <c r="C249" s="11"/>
      <c r="D249" s="12"/>
      <c r="E249" s="12"/>
      <c r="F249" s="12"/>
      <c r="G249" s="12"/>
    </row>
    <row r="250" spans="1:7" x14ac:dyDescent="0.25">
      <c r="A250" s="258" t="s">
        <v>69</v>
      </c>
      <c r="B250" s="258"/>
      <c r="C250" s="258"/>
      <c r="D250" s="258"/>
      <c r="E250" s="258"/>
      <c r="F250" s="258"/>
      <c r="G250" s="258"/>
    </row>
    <row r="251" spans="1:7" ht="38.25" x14ac:dyDescent="0.25">
      <c r="A251" s="13" t="s">
        <v>27</v>
      </c>
      <c r="B251" s="13" t="s">
        <v>28</v>
      </c>
      <c r="C251" s="13" t="s">
        <v>29</v>
      </c>
      <c r="D251" s="13" t="s">
        <v>2</v>
      </c>
      <c r="E251" s="14" t="s">
        <v>37</v>
      </c>
      <c r="F251" s="14" t="s">
        <v>38</v>
      </c>
      <c r="G251" s="14" t="s">
        <v>39</v>
      </c>
    </row>
    <row r="252" spans="1:7" x14ac:dyDescent="0.25">
      <c r="A252" s="15">
        <v>1</v>
      </c>
      <c r="B252" s="254" t="s">
        <v>80</v>
      </c>
      <c r="C252" s="254"/>
      <c r="D252" s="254"/>
      <c r="E252" s="254"/>
      <c r="F252" s="254"/>
      <c r="G252" s="254"/>
    </row>
    <row r="253" spans="1:7" x14ac:dyDescent="0.25">
      <c r="A253" s="21" t="s">
        <v>48</v>
      </c>
      <c r="B253" s="22" t="s">
        <v>85</v>
      </c>
      <c r="C253" s="22" t="s">
        <v>62</v>
      </c>
      <c r="D253" s="41"/>
      <c r="E253" s="49">
        <v>0</v>
      </c>
      <c r="F253" s="42">
        <f>27138+25230</f>
        <v>52368</v>
      </c>
      <c r="G253" s="43">
        <f>E253+F253</f>
        <v>52368</v>
      </c>
    </row>
    <row r="254" spans="1:7" s="7" customFormat="1" x14ac:dyDescent="0.25">
      <c r="A254" s="27" t="s">
        <v>70</v>
      </c>
      <c r="B254" s="26" t="s">
        <v>63</v>
      </c>
      <c r="C254" s="26" t="s">
        <v>64</v>
      </c>
      <c r="D254" s="55"/>
      <c r="E254" s="56">
        <v>0</v>
      </c>
      <c r="F254" s="57">
        <v>7760</v>
      </c>
      <c r="G254" s="58">
        <f>F254</f>
        <v>7760</v>
      </c>
    </row>
    <row r="255" spans="1:7" s="1" customFormat="1" x14ac:dyDescent="0.25">
      <c r="A255" s="21" t="s">
        <v>71</v>
      </c>
      <c r="B255" s="22" t="s">
        <v>72</v>
      </c>
      <c r="C255" s="22" t="s">
        <v>73</v>
      </c>
      <c r="D255" s="41"/>
      <c r="E255" s="49">
        <v>0</v>
      </c>
      <c r="F255" s="42">
        <v>499.95</v>
      </c>
      <c r="G255" s="43">
        <f>F255</f>
        <v>499.95</v>
      </c>
    </row>
    <row r="256" spans="1:7" x14ac:dyDescent="0.25">
      <c r="A256" s="253" t="s">
        <v>22</v>
      </c>
      <c r="B256" s="253"/>
      <c r="C256" s="253"/>
      <c r="D256" s="16"/>
      <c r="E256" s="17">
        <f>0</f>
        <v>0</v>
      </c>
      <c r="F256" s="17">
        <f>F253+F254+F255</f>
        <v>60627.95</v>
      </c>
      <c r="G256" s="18">
        <f>G253+G254+G255</f>
        <v>60627.95</v>
      </c>
    </row>
    <row r="257" spans="1:7" x14ac:dyDescent="0.25">
      <c r="A257" s="15">
        <v>2</v>
      </c>
      <c r="B257" s="254" t="s">
        <v>81</v>
      </c>
      <c r="C257" s="254"/>
      <c r="D257" s="254"/>
      <c r="E257" s="254"/>
      <c r="F257" s="254"/>
      <c r="G257" s="254"/>
    </row>
    <row r="258" spans="1:7" x14ac:dyDescent="0.25">
      <c r="A258" s="253" t="s">
        <v>22</v>
      </c>
      <c r="B258" s="253"/>
      <c r="C258" s="253"/>
      <c r="D258" s="16"/>
      <c r="E258" s="19">
        <f>0</f>
        <v>0</v>
      </c>
      <c r="F258" s="19">
        <f>0</f>
        <v>0</v>
      </c>
      <c r="G258" s="20">
        <f>G257</f>
        <v>0</v>
      </c>
    </row>
    <row r="259" spans="1:7" x14ac:dyDescent="0.25">
      <c r="A259" s="15">
        <v>3</v>
      </c>
      <c r="B259" s="254" t="s">
        <v>82</v>
      </c>
      <c r="C259" s="254"/>
      <c r="D259" s="254"/>
      <c r="E259" s="254"/>
      <c r="F259" s="254"/>
      <c r="G259" s="254"/>
    </row>
    <row r="260" spans="1:7" x14ac:dyDescent="0.25">
      <c r="A260" s="21" t="s">
        <v>4</v>
      </c>
      <c r="B260" s="22" t="s">
        <v>15</v>
      </c>
      <c r="C260" s="22" t="s">
        <v>16</v>
      </c>
      <c r="D260" s="21" t="s">
        <v>17</v>
      </c>
      <c r="E260" s="23">
        <v>0</v>
      </c>
      <c r="F260" s="24">
        <v>37440</v>
      </c>
      <c r="G260" s="30">
        <f t="shared" ref="G260:G267" si="10">SUM(E260:F260)</f>
        <v>37440</v>
      </c>
    </row>
    <row r="261" spans="1:7" x14ac:dyDescent="0.25">
      <c r="A261" s="50" t="s">
        <v>5</v>
      </c>
      <c r="B261" s="52" t="s">
        <v>77</v>
      </c>
      <c r="C261" s="52" t="s">
        <v>75</v>
      </c>
      <c r="D261" s="50"/>
      <c r="E261" s="53">
        <v>0</v>
      </c>
      <c r="F261" s="54">
        <v>36783.81</v>
      </c>
      <c r="G261" s="30">
        <f t="shared" si="10"/>
        <v>36783.81</v>
      </c>
    </row>
    <row r="262" spans="1:7" x14ac:dyDescent="0.25">
      <c r="A262" s="21" t="s">
        <v>6</v>
      </c>
      <c r="B262" s="34" t="s">
        <v>51</v>
      </c>
      <c r="C262" s="22" t="s">
        <v>86</v>
      </c>
      <c r="D262" s="21" t="s">
        <v>12</v>
      </c>
      <c r="E262" s="23">
        <v>0</v>
      </c>
      <c r="F262" s="24">
        <v>76263.570000000007</v>
      </c>
      <c r="G262" s="25">
        <f t="shared" si="10"/>
        <v>76263.570000000007</v>
      </c>
    </row>
    <row r="263" spans="1:7" x14ac:dyDescent="0.25">
      <c r="A263" s="256" t="s">
        <v>18</v>
      </c>
      <c r="B263" s="257" t="s">
        <v>10</v>
      </c>
      <c r="C263" s="26" t="s">
        <v>11</v>
      </c>
      <c r="D263" s="27" t="s">
        <v>20</v>
      </c>
      <c r="E263" s="28">
        <v>0</v>
      </c>
      <c r="F263" s="29">
        <v>0</v>
      </c>
      <c r="G263" s="30">
        <f t="shared" si="10"/>
        <v>0</v>
      </c>
    </row>
    <row r="264" spans="1:7" x14ac:dyDescent="0.25">
      <c r="A264" s="256"/>
      <c r="B264" s="257"/>
      <c r="C264" s="26" t="s">
        <v>86</v>
      </c>
      <c r="D264" s="27"/>
      <c r="E264" s="28">
        <v>0</v>
      </c>
      <c r="F264" s="29">
        <v>20203.310000000001</v>
      </c>
      <c r="G264" s="30">
        <f t="shared" si="10"/>
        <v>20203.310000000001</v>
      </c>
    </row>
    <row r="265" spans="1:7" x14ac:dyDescent="0.25">
      <c r="A265" s="21" t="s">
        <v>23</v>
      </c>
      <c r="B265" s="34" t="s">
        <v>13</v>
      </c>
      <c r="C265" s="22" t="s">
        <v>14</v>
      </c>
      <c r="D265" s="21" t="s">
        <v>21</v>
      </c>
      <c r="E265" s="23">
        <v>0</v>
      </c>
      <c r="F265" s="24">
        <v>8195.4</v>
      </c>
      <c r="G265" s="25">
        <f t="shared" si="10"/>
        <v>8195.4</v>
      </c>
    </row>
    <row r="266" spans="1:7" s="7" customFormat="1" x14ac:dyDescent="0.25">
      <c r="A266" s="27" t="s">
        <v>24</v>
      </c>
      <c r="B266" s="33" t="s">
        <v>74</v>
      </c>
      <c r="C266" s="26" t="s">
        <v>31</v>
      </c>
      <c r="D266" s="27"/>
      <c r="E266" s="28">
        <v>0</v>
      </c>
      <c r="F266" s="29">
        <v>262663.53999999998</v>
      </c>
      <c r="G266" s="30">
        <f t="shared" si="10"/>
        <v>262663.53999999998</v>
      </c>
    </row>
    <row r="267" spans="1:7" x14ac:dyDescent="0.25">
      <c r="A267" s="21" t="s">
        <v>25</v>
      </c>
      <c r="B267" s="34" t="s">
        <v>42</v>
      </c>
      <c r="C267" s="22" t="s">
        <v>43</v>
      </c>
      <c r="D267" s="21"/>
      <c r="E267" s="23">
        <v>0</v>
      </c>
      <c r="F267" s="24">
        <v>38916</v>
      </c>
      <c r="G267" s="25">
        <f t="shared" si="10"/>
        <v>38916</v>
      </c>
    </row>
    <row r="268" spans="1:7" x14ac:dyDescent="0.25">
      <c r="A268" s="253" t="s">
        <v>22</v>
      </c>
      <c r="B268" s="253"/>
      <c r="C268" s="253"/>
      <c r="D268" s="16"/>
      <c r="E268" s="17">
        <f>SUM(E260:E267)</f>
        <v>0</v>
      </c>
      <c r="F268" s="17">
        <f>SUM(F260:F267)</f>
        <v>480465.63</v>
      </c>
      <c r="G268" s="18">
        <f>SUM(G259:G267)</f>
        <v>480465.63</v>
      </c>
    </row>
    <row r="269" spans="1:7" x14ac:dyDescent="0.25">
      <c r="A269" s="15">
        <v>4</v>
      </c>
      <c r="B269" s="254" t="s">
        <v>83</v>
      </c>
      <c r="C269" s="254"/>
      <c r="D269" s="254"/>
      <c r="E269" s="254"/>
      <c r="F269" s="254"/>
      <c r="G269" s="254"/>
    </row>
    <row r="270" spans="1:7" x14ac:dyDescent="0.25">
      <c r="A270" s="253" t="s">
        <v>22</v>
      </c>
      <c r="B270" s="253"/>
      <c r="C270" s="253"/>
      <c r="D270" s="16"/>
      <c r="E270" s="17">
        <v>0</v>
      </c>
      <c r="F270" s="17">
        <v>0</v>
      </c>
      <c r="G270" s="18">
        <v>0</v>
      </c>
    </row>
    <row r="271" spans="1:7" x14ac:dyDescent="0.25">
      <c r="A271" s="15">
        <v>5</v>
      </c>
      <c r="B271" s="35" t="s">
        <v>84</v>
      </c>
      <c r="C271" s="35"/>
      <c r="D271" s="15" t="s">
        <v>26</v>
      </c>
      <c r="E271" s="36"/>
      <c r="F271" s="37"/>
      <c r="G271" s="38">
        <f>SUM(E271:F271)</f>
        <v>0</v>
      </c>
    </row>
    <row r="272" spans="1:7" x14ac:dyDescent="0.25">
      <c r="A272" s="21" t="s">
        <v>32</v>
      </c>
      <c r="B272" s="34" t="s">
        <v>3</v>
      </c>
      <c r="C272" s="22" t="s">
        <v>19</v>
      </c>
      <c r="D272" s="21"/>
      <c r="E272" s="23">
        <v>0</v>
      </c>
      <c r="F272" s="24">
        <v>29952.25</v>
      </c>
      <c r="G272" s="25">
        <f>-SUM(E272:F272)</f>
        <v>-29952.25</v>
      </c>
    </row>
    <row r="273" spans="1:7" x14ac:dyDescent="0.25">
      <c r="A273" s="253" t="s">
        <v>22</v>
      </c>
      <c r="B273" s="253"/>
      <c r="C273" s="253"/>
      <c r="D273" s="16"/>
      <c r="E273" s="17">
        <f>E272</f>
        <v>0</v>
      </c>
      <c r="F273" s="17">
        <f>F272</f>
        <v>29952.25</v>
      </c>
      <c r="G273" s="18">
        <f>E273+F273</f>
        <v>29952.25</v>
      </c>
    </row>
    <row r="274" spans="1:7" x14ac:dyDescent="0.25">
      <c r="A274" s="255" t="s">
        <v>1</v>
      </c>
      <c r="B274" s="255"/>
      <c r="C274" s="255"/>
      <c r="D274" s="255"/>
      <c r="E274" s="39">
        <f>E256+E258+E268+E273</f>
        <v>0</v>
      </c>
      <c r="F274" s="40">
        <f>F268+F273+F258+F256+F270</f>
        <v>571045.82999999996</v>
      </c>
      <c r="G274" s="39">
        <f>E274+F274</f>
        <v>571045.82999999996</v>
      </c>
    </row>
    <row r="275" spans="1:7" s="1" customFormat="1" x14ac:dyDescent="0.25">
      <c r="A275" s="266" t="s">
        <v>33</v>
      </c>
      <c r="B275" s="266"/>
      <c r="C275" s="266"/>
      <c r="D275" s="266"/>
      <c r="E275" s="266"/>
      <c r="F275" s="266"/>
      <c r="G275" s="266"/>
    </row>
    <row r="276" spans="1:7" x14ac:dyDescent="0.25">
      <c r="A276" s="12"/>
      <c r="B276" s="12"/>
      <c r="C276" s="11"/>
      <c r="D276" s="12"/>
      <c r="E276" s="12"/>
      <c r="F276" s="12"/>
      <c r="G276" s="12"/>
    </row>
    <row r="277" spans="1:7" x14ac:dyDescent="0.25">
      <c r="A277" s="258" t="s">
        <v>76</v>
      </c>
      <c r="B277" s="258"/>
      <c r="C277" s="258"/>
      <c r="D277" s="258"/>
      <c r="E277" s="258"/>
      <c r="F277" s="258"/>
      <c r="G277" s="258"/>
    </row>
    <row r="278" spans="1:7" ht="38.25" x14ac:dyDescent="0.25">
      <c r="A278" s="13" t="s">
        <v>27</v>
      </c>
      <c r="B278" s="13" t="s">
        <v>28</v>
      </c>
      <c r="C278" s="13" t="s">
        <v>29</v>
      </c>
      <c r="D278" s="13" t="s">
        <v>2</v>
      </c>
      <c r="E278" s="14" t="s">
        <v>37</v>
      </c>
      <c r="F278" s="14" t="s">
        <v>38</v>
      </c>
      <c r="G278" s="14" t="s">
        <v>39</v>
      </c>
    </row>
    <row r="279" spans="1:7" x14ac:dyDescent="0.25">
      <c r="A279" s="15">
        <v>1</v>
      </c>
      <c r="B279" s="254" t="s">
        <v>80</v>
      </c>
      <c r="C279" s="254"/>
      <c r="D279" s="254"/>
      <c r="E279" s="254"/>
      <c r="F279" s="254"/>
      <c r="G279" s="254"/>
    </row>
    <row r="280" spans="1:7" x14ac:dyDescent="0.25">
      <c r="A280" s="253" t="s">
        <v>22</v>
      </c>
      <c r="B280" s="253"/>
      <c r="C280" s="253"/>
      <c r="D280" s="16"/>
      <c r="E280" s="17">
        <v>0</v>
      </c>
      <c r="F280" s="17">
        <v>0</v>
      </c>
      <c r="G280" s="18">
        <v>0</v>
      </c>
    </row>
    <row r="281" spans="1:7" x14ac:dyDescent="0.25">
      <c r="A281" s="15">
        <v>2</v>
      </c>
      <c r="B281" s="254" t="s">
        <v>81</v>
      </c>
      <c r="C281" s="254"/>
      <c r="D281" s="254"/>
      <c r="E281" s="254"/>
      <c r="F281" s="254"/>
      <c r="G281" s="254"/>
    </row>
    <row r="282" spans="1:7" x14ac:dyDescent="0.25">
      <c r="A282" s="253" t="s">
        <v>22</v>
      </c>
      <c r="B282" s="253"/>
      <c r="C282" s="253"/>
      <c r="D282" s="16"/>
      <c r="E282" s="19">
        <f>0</f>
        <v>0</v>
      </c>
      <c r="F282" s="19">
        <f>0</f>
        <v>0</v>
      </c>
      <c r="G282" s="20">
        <f>G281</f>
        <v>0</v>
      </c>
    </row>
    <row r="283" spans="1:7" x14ac:dyDescent="0.25">
      <c r="A283" s="15">
        <v>3</v>
      </c>
      <c r="B283" s="254" t="s">
        <v>82</v>
      </c>
      <c r="C283" s="254"/>
      <c r="D283" s="254"/>
      <c r="E283" s="254"/>
      <c r="F283" s="254"/>
      <c r="G283" s="254"/>
    </row>
    <row r="284" spans="1:7" x14ac:dyDescent="0.25">
      <c r="A284" s="50" t="s">
        <v>5</v>
      </c>
      <c r="B284" s="52" t="s">
        <v>77</v>
      </c>
      <c r="C284" s="52" t="s">
        <v>75</v>
      </c>
      <c r="D284" s="50"/>
      <c r="E284" s="53">
        <v>0</v>
      </c>
      <c r="F284" s="54">
        <f>39752.33+30201.45</f>
        <v>69953.78</v>
      </c>
      <c r="G284" s="30">
        <f t="shared" ref="G284:G290" si="11">SUM(E284:F284)</f>
        <v>69953.78</v>
      </c>
    </row>
    <row r="285" spans="1:7" x14ac:dyDescent="0.25">
      <c r="A285" s="21" t="s">
        <v>6</v>
      </c>
      <c r="B285" s="34" t="s">
        <v>51</v>
      </c>
      <c r="C285" s="22" t="s">
        <v>86</v>
      </c>
      <c r="D285" s="21" t="s">
        <v>12</v>
      </c>
      <c r="E285" s="23">
        <v>0</v>
      </c>
      <c r="F285" s="24">
        <v>76263.570000000007</v>
      </c>
      <c r="G285" s="25">
        <f t="shared" si="11"/>
        <v>76263.570000000007</v>
      </c>
    </row>
    <row r="286" spans="1:7" x14ac:dyDescent="0.25">
      <c r="A286" s="256" t="s">
        <v>18</v>
      </c>
      <c r="B286" s="257" t="s">
        <v>10</v>
      </c>
      <c r="C286" s="26" t="s">
        <v>11</v>
      </c>
      <c r="D286" s="27" t="s">
        <v>20</v>
      </c>
      <c r="E286" s="28">
        <v>0</v>
      </c>
      <c r="F286" s="29">
        <v>0</v>
      </c>
      <c r="G286" s="30">
        <f t="shared" si="11"/>
        <v>0</v>
      </c>
    </row>
    <row r="287" spans="1:7" x14ac:dyDescent="0.25">
      <c r="A287" s="256"/>
      <c r="B287" s="257"/>
      <c r="C287" s="26" t="s">
        <v>86</v>
      </c>
      <c r="D287" s="27"/>
      <c r="E287" s="28">
        <v>0</v>
      </c>
      <c r="F287" s="29">
        <v>20544.47</v>
      </c>
      <c r="G287" s="30">
        <f t="shared" si="11"/>
        <v>20544.47</v>
      </c>
    </row>
    <row r="288" spans="1:7" x14ac:dyDescent="0.25">
      <c r="A288" s="21" t="s">
        <v>23</v>
      </c>
      <c r="B288" s="34" t="s">
        <v>13</v>
      </c>
      <c r="C288" s="22" t="s">
        <v>14</v>
      </c>
      <c r="D288" s="21" t="s">
        <v>21</v>
      </c>
      <c r="E288" s="23">
        <v>0</v>
      </c>
      <c r="F288" s="24">
        <v>9861.4</v>
      </c>
      <c r="G288" s="25">
        <f t="shared" si="11"/>
        <v>9861.4</v>
      </c>
    </row>
    <row r="289" spans="1:7" x14ac:dyDescent="0.25">
      <c r="A289" s="27" t="s">
        <v>24</v>
      </c>
      <c r="B289" s="33" t="s">
        <v>74</v>
      </c>
      <c r="C289" s="26" t="s">
        <v>31</v>
      </c>
      <c r="D289" s="27"/>
      <c r="E289" s="28">
        <v>0</v>
      </c>
      <c r="F289" s="29">
        <v>29913.81</v>
      </c>
      <c r="G289" s="30">
        <f t="shared" si="11"/>
        <v>29913.81</v>
      </c>
    </row>
    <row r="290" spans="1:7" x14ac:dyDescent="0.25">
      <c r="A290" s="21" t="s">
        <v>25</v>
      </c>
      <c r="B290" s="34" t="s">
        <v>44</v>
      </c>
      <c r="C290" s="22" t="s">
        <v>79</v>
      </c>
      <c r="D290" s="21"/>
      <c r="E290" s="23">
        <v>0</v>
      </c>
      <c r="F290" s="24">
        <v>4684.8599999999997</v>
      </c>
      <c r="G290" s="25">
        <f t="shared" si="11"/>
        <v>4684.8599999999997</v>
      </c>
    </row>
    <row r="291" spans="1:7" s="7" customFormat="1" x14ac:dyDescent="0.25">
      <c r="A291" s="27" t="s">
        <v>41</v>
      </c>
      <c r="B291" s="33" t="s">
        <v>78</v>
      </c>
      <c r="C291" s="26" t="s">
        <v>78</v>
      </c>
      <c r="D291" s="27"/>
      <c r="E291" s="28">
        <v>0</v>
      </c>
      <c r="F291" s="29">
        <v>5400</v>
      </c>
      <c r="G291" s="30">
        <f>SUM(E291:F291)</f>
        <v>5400</v>
      </c>
    </row>
    <row r="292" spans="1:7" x14ac:dyDescent="0.25">
      <c r="A292" s="253" t="s">
        <v>22</v>
      </c>
      <c r="B292" s="253"/>
      <c r="C292" s="253"/>
      <c r="D292" s="16"/>
      <c r="E292" s="17">
        <f>SUM(E284:E291)</f>
        <v>0</v>
      </c>
      <c r="F292" s="17">
        <f>SUM(F284:F291)</f>
        <v>216621.88999999998</v>
      </c>
      <c r="G292" s="18">
        <f>SUM(G283:G290)</f>
        <v>211221.88999999998</v>
      </c>
    </row>
    <row r="293" spans="1:7" x14ac:dyDescent="0.25">
      <c r="A293" s="15">
        <v>4</v>
      </c>
      <c r="B293" s="254" t="s">
        <v>83</v>
      </c>
      <c r="C293" s="254"/>
      <c r="D293" s="254"/>
      <c r="E293" s="254"/>
      <c r="F293" s="254"/>
      <c r="G293" s="254"/>
    </row>
    <row r="294" spans="1:7" x14ac:dyDescent="0.25">
      <c r="A294" s="253" t="s">
        <v>22</v>
      </c>
      <c r="B294" s="253"/>
      <c r="C294" s="253"/>
      <c r="D294" s="16"/>
      <c r="E294" s="17">
        <v>0</v>
      </c>
      <c r="F294" s="17">
        <v>0</v>
      </c>
      <c r="G294" s="18">
        <v>0</v>
      </c>
    </row>
    <row r="295" spans="1:7" x14ac:dyDescent="0.25">
      <c r="A295" s="15">
        <v>5</v>
      </c>
      <c r="B295" s="35" t="s">
        <v>84</v>
      </c>
      <c r="C295" s="35"/>
      <c r="D295" s="15" t="s">
        <v>26</v>
      </c>
      <c r="E295" s="36"/>
      <c r="F295" s="37"/>
      <c r="G295" s="38">
        <f>SUM(E295:F295)</f>
        <v>0</v>
      </c>
    </row>
    <row r="296" spans="1:7" x14ac:dyDescent="0.25">
      <c r="A296" s="21" t="s">
        <v>32</v>
      </c>
      <c r="B296" s="34" t="s">
        <v>3</v>
      </c>
      <c r="C296" s="22" t="s">
        <v>19</v>
      </c>
      <c r="D296" s="21"/>
      <c r="E296" s="23">
        <v>0</v>
      </c>
      <c r="F296" s="24">
        <v>39313.440000000002</v>
      </c>
      <c r="G296" s="25">
        <f>-SUM(E296:F296)</f>
        <v>-39313.440000000002</v>
      </c>
    </row>
    <row r="297" spans="1:7" x14ac:dyDescent="0.25">
      <c r="A297" s="253" t="s">
        <v>22</v>
      </c>
      <c r="B297" s="253"/>
      <c r="C297" s="253"/>
      <c r="D297" s="16"/>
      <c r="E297" s="17">
        <f>E296</f>
        <v>0</v>
      </c>
      <c r="F297" s="17">
        <f>F296</f>
        <v>39313.440000000002</v>
      </c>
      <c r="G297" s="18">
        <f>E297+F297</f>
        <v>39313.440000000002</v>
      </c>
    </row>
    <row r="298" spans="1:7" x14ac:dyDescent="0.25">
      <c r="A298" s="255" t="s">
        <v>1</v>
      </c>
      <c r="B298" s="255"/>
      <c r="C298" s="255"/>
      <c r="D298" s="255"/>
      <c r="E298" s="39">
        <f>E280+E282+E292+E297</f>
        <v>0</v>
      </c>
      <c r="F298" s="40">
        <f>F292+F297+F282+F280+F294</f>
        <v>255935.33</v>
      </c>
      <c r="G298" s="39">
        <f>E298+F298</f>
        <v>255935.33</v>
      </c>
    </row>
    <row r="299" spans="1:7" x14ac:dyDescent="0.25">
      <c r="A299" s="266" t="s">
        <v>33</v>
      </c>
      <c r="B299" s="266"/>
      <c r="C299" s="266"/>
      <c r="D299" s="266"/>
      <c r="E299" s="266"/>
      <c r="F299" s="266"/>
      <c r="G299" s="266"/>
    </row>
    <row r="300" spans="1:7" x14ac:dyDescent="0.25">
      <c r="A300" s="12"/>
      <c r="B300" s="12"/>
      <c r="C300" s="11"/>
      <c r="D300" s="12"/>
      <c r="E300" s="12"/>
      <c r="F300" s="12"/>
      <c r="G300" s="12"/>
    </row>
    <row r="301" spans="1:7" x14ac:dyDescent="0.25">
      <c r="A301" s="12"/>
      <c r="B301" s="12"/>
      <c r="C301" s="11"/>
      <c r="D301" s="12"/>
      <c r="E301" s="12"/>
      <c r="F301" s="12"/>
      <c r="G301" s="12"/>
    </row>
    <row r="302" spans="1:7" x14ac:dyDescent="0.25">
      <c r="A302" s="12"/>
      <c r="B302" s="12"/>
      <c r="C302" s="11"/>
      <c r="D302" s="12"/>
      <c r="E302" s="12"/>
      <c r="F302" s="12"/>
      <c r="G302" s="12"/>
    </row>
    <row r="303" spans="1:7" x14ac:dyDescent="0.25">
      <c r="A303" s="12"/>
      <c r="B303" s="12"/>
      <c r="C303" s="11"/>
      <c r="D303" s="12"/>
      <c r="E303" s="12"/>
      <c r="F303" s="12"/>
      <c r="G303" s="12"/>
    </row>
    <row r="304" spans="1:7" x14ac:dyDescent="0.25">
      <c r="A304" s="12"/>
      <c r="B304" s="12"/>
      <c r="C304" s="11"/>
      <c r="D304" s="12"/>
      <c r="E304" s="12"/>
      <c r="F304" s="12"/>
      <c r="G304" s="12"/>
    </row>
    <row r="305" spans="1:7" x14ac:dyDescent="0.25">
      <c r="A305" s="12"/>
      <c r="B305" s="12"/>
      <c r="C305" s="11"/>
      <c r="D305" s="12"/>
      <c r="E305" s="12"/>
      <c r="F305" s="12"/>
      <c r="G305" s="12"/>
    </row>
    <row r="306" spans="1:7" x14ac:dyDescent="0.25">
      <c r="A306" s="12"/>
      <c r="B306" s="12"/>
      <c r="C306" s="11"/>
      <c r="D306" s="12"/>
      <c r="E306" s="12"/>
      <c r="F306" s="12"/>
      <c r="G306" s="12"/>
    </row>
    <row r="307" spans="1:7" x14ac:dyDescent="0.25">
      <c r="A307" s="12"/>
      <c r="B307" s="12"/>
      <c r="C307" s="11"/>
      <c r="D307" s="12"/>
      <c r="E307" s="12"/>
      <c r="F307" s="12"/>
      <c r="G307" s="12"/>
    </row>
    <row r="308" spans="1:7" x14ac:dyDescent="0.25">
      <c r="A308" s="12"/>
      <c r="B308" s="12"/>
      <c r="C308" s="11"/>
      <c r="D308" s="12"/>
      <c r="E308" s="12"/>
      <c r="F308" s="12"/>
      <c r="G308" s="12"/>
    </row>
    <row r="309" spans="1:7" x14ac:dyDescent="0.25">
      <c r="A309" s="12"/>
      <c r="B309" s="12"/>
      <c r="C309" s="11"/>
      <c r="D309" s="12"/>
      <c r="E309" s="12"/>
      <c r="F309" s="12"/>
      <c r="G309" s="12"/>
    </row>
    <row r="310" spans="1:7" x14ac:dyDescent="0.25">
      <c r="A310" s="12"/>
      <c r="B310" s="12"/>
      <c r="C310" s="11"/>
      <c r="D310" s="12"/>
      <c r="E310" s="12"/>
      <c r="F310" s="12"/>
      <c r="G310" s="12"/>
    </row>
    <row r="311" spans="1:7" x14ac:dyDescent="0.25">
      <c r="A311" s="12"/>
      <c r="B311" s="12"/>
      <c r="C311" s="11"/>
      <c r="D311" s="12"/>
      <c r="E311" s="12"/>
      <c r="F311" s="12"/>
      <c r="G311" s="12"/>
    </row>
    <row r="312" spans="1:7" x14ac:dyDescent="0.25">
      <c r="A312" s="12"/>
      <c r="B312" s="12"/>
      <c r="C312" s="11"/>
      <c r="D312" s="12"/>
      <c r="E312" s="12"/>
      <c r="F312" s="12"/>
      <c r="G312" s="12"/>
    </row>
    <row r="313" spans="1:7" x14ac:dyDescent="0.25">
      <c r="A313" s="12"/>
      <c r="B313" s="12"/>
      <c r="C313" s="11"/>
      <c r="D313" s="12"/>
      <c r="E313" s="12"/>
      <c r="F313" s="12"/>
      <c r="G313" s="12"/>
    </row>
    <row r="314" spans="1:7" x14ac:dyDescent="0.25">
      <c r="A314" s="12"/>
      <c r="B314" s="12"/>
      <c r="C314" s="11"/>
      <c r="D314" s="12"/>
      <c r="E314" s="12"/>
      <c r="F314" s="12"/>
      <c r="G314" s="12"/>
    </row>
    <row r="315" spans="1:7" x14ac:dyDescent="0.25">
      <c r="A315" s="12"/>
      <c r="B315" s="12"/>
      <c r="C315" s="11"/>
      <c r="D315" s="12"/>
      <c r="E315" s="12"/>
      <c r="F315" s="12"/>
      <c r="G315" s="12"/>
    </row>
    <row r="316" spans="1:7" x14ac:dyDescent="0.25">
      <c r="A316" s="12"/>
      <c r="B316" s="12"/>
      <c r="C316" s="11"/>
      <c r="D316" s="12"/>
      <c r="E316" s="12"/>
      <c r="F316" s="12"/>
      <c r="G316" s="12"/>
    </row>
    <row r="317" spans="1:7" x14ac:dyDescent="0.25">
      <c r="A317" s="12"/>
      <c r="B317" s="12"/>
      <c r="C317" s="11"/>
      <c r="D317" s="12"/>
      <c r="E317" s="12"/>
      <c r="F317" s="12"/>
      <c r="G317" s="12"/>
    </row>
    <row r="318" spans="1:7" x14ac:dyDescent="0.25">
      <c r="A318" s="12"/>
      <c r="B318" s="12"/>
      <c r="C318" s="11"/>
      <c r="D318" s="12"/>
      <c r="E318" s="12"/>
      <c r="F318" s="12"/>
      <c r="G318" s="12"/>
    </row>
    <row r="319" spans="1:7" x14ac:dyDescent="0.25">
      <c r="A319" s="12"/>
      <c r="B319" s="12"/>
      <c r="C319" s="11"/>
      <c r="D319" s="12"/>
      <c r="E319" s="12"/>
      <c r="F319" s="12"/>
      <c r="G319" s="12"/>
    </row>
    <row r="320" spans="1:7" x14ac:dyDescent="0.25">
      <c r="A320" s="12"/>
      <c r="B320" s="12"/>
      <c r="C320" s="11"/>
      <c r="D320" s="12"/>
      <c r="E320" s="12"/>
      <c r="F320" s="12"/>
      <c r="G320" s="12"/>
    </row>
    <row r="321" spans="1:7" x14ac:dyDescent="0.25">
      <c r="A321" s="12"/>
      <c r="B321" s="12"/>
      <c r="C321" s="11"/>
      <c r="D321" s="12"/>
      <c r="E321" s="12"/>
      <c r="F321" s="12"/>
      <c r="G321" s="12"/>
    </row>
    <row r="322" spans="1:7" x14ac:dyDescent="0.25">
      <c r="A322" s="12"/>
      <c r="B322" s="12"/>
      <c r="C322" s="11"/>
      <c r="D322" s="12"/>
      <c r="E322" s="12"/>
      <c r="F322" s="12"/>
      <c r="G322" s="12"/>
    </row>
    <row r="323" spans="1:7" x14ac:dyDescent="0.25">
      <c r="A323" s="12"/>
      <c r="B323" s="12"/>
      <c r="C323" s="11"/>
      <c r="D323" s="12"/>
      <c r="E323" s="12"/>
      <c r="F323" s="12"/>
      <c r="G323" s="12"/>
    </row>
    <row r="324" spans="1:7" x14ac:dyDescent="0.25">
      <c r="A324" s="12"/>
      <c r="B324" s="12"/>
      <c r="C324" s="11"/>
      <c r="D324" s="12"/>
      <c r="E324" s="12"/>
      <c r="F324" s="12"/>
      <c r="G324" s="12"/>
    </row>
    <row r="325" spans="1:7" x14ac:dyDescent="0.25">
      <c r="A325" s="12"/>
      <c r="B325" s="12"/>
      <c r="C325" s="11"/>
      <c r="D325" s="12"/>
      <c r="E325" s="12"/>
      <c r="F325" s="12"/>
      <c r="G325" s="12"/>
    </row>
    <row r="326" spans="1:7" x14ac:dyDescent="0.25">
      <c r="A326" s="12"/>
      <c r="B326" s="12"/>
      <c r="C326" s="11"/>
      <c r="D326" s="12"/>
      <c r="E326" s="12"/>
      <c r="F326" s="12"/>
      <c r="G326" s="12"/>
    </row>
    <row r="327" spans="1:7" x14ac:dyDescent="0.25">
      <c r="A327" s="12"/>
      <c r="B327" s="12"/>
      <c r="C327" s="11"/>
      <c r="D327" s="12"/>
      <c r="E327" s="12"/>
      <c r="F327" s="12"/>
      <c r="G327" s="12"/>
    </row>
    <row r="328" spans="1:7" x14ac:dyDescent="0.25">
      <c r="A328" s="12"/>
      <c r="B328" s="12"/>
      <c r="C328" s="11"/>
      <c r="D328" s="12"/>
      <c r="E328" s="12"/>
      <c r="F328" s="12"/>
      <c r="G328" s="12"/>
    </row>
    <row r="329" spans="1:7" x14ac:dyDescent="0.25">
      <c r="A329" s="12"/>
      <c r="B329" s="12"/>
      <c r="C329" s="11"/>
      <c r="D329" s="12"/>
      <c r="E329" s="12"/>
      <c r="F329" s="12"/>
      <c r="G329" s="12"/>
    </row>
    <row r="330" spans="1:7" x14ac:dyDescent="0.25">
      <c r="A330" s="12"/>
      <c r="B330" s="12"/>
      <c r="C330" s="11"/>
      <c r="D330" s="12"/>
      <c r="E330" s="12"/>
      <c r="F330" s="12"/>
      <c r="G330" s="12"/>
    </row>
    <row r="331" spans="1:7" x14ac:dyDescent="0.25">
      <c r="A331" s="12"/>
      <c r="B331" s="12"/>
      <c r="C331" s="11"/>
      <c r="D331" s="12"/>
      <c r="E331" s="12"/>
      <c r="F331" s="12"/>
      <c r="G331" s="12"/>
    </row>
    <row r="332" spans="1:7" x14ac:dyDescent="0.25">
      <c r="A332" s="12"/>
      <c r="B332" s="12"/>
      <c r="C332" s="11"/>
      <c r="D332" s="12"/>
      <c r="E332" s="12"/>
      <c r="F332" s="12"/>
      <c r="G332" s="12"/>
    </row>
    <row r="333" spans="1:7" x14ac:dyDescent="0.25">
      <c r="A333" s="12"/>
      <c r="B333" s="12"/>
      <c r="C333" s="11"/>
      <c r="D333" s="12"/>
      <c r="E333" s="12"/>
      <c r="F333" s="12"/>
      <c r="G333" s="12"/>
    </row>
    <row r="334" spans="1:7" x14ac:dyDescent="0.25">
      <c r="A334" s="12"/>
      <c r="B334" s="12"/>
      <c r="C334" s="11"/>
      <c r="D334" s="12"/>
      <c r="E334" s="12"/>
      <c r="F334" s="12"/>
      <c r="G334" s="12"/>
    </row>
    <row r="335" spans="1:7" x14ac:dyDescent="0.25">
      <c r="A335" s="12"/>
      <c r="B335" s="12"/>
      <c r="C335" s="11"/>
      <c r="D335" s="12"/>
      <c r="E335" s="12"/>
      <c r="F335" s="12"/>
      <c r="G335" s="12"/>
    </row>
    <row r="336" spans="1:7" x14ac:dyDescent="0.25">
      <c r="A336" s="12"/>
      <c r="B336" s="12"/>
      <c r="C336" s="11"/>
      <c r="D336" s="12"/>
      <c r="E336" s="12"/>
      <c r="F336" s="12"/>
      <c r="G336" s="12"/>
    </row>
    <row r="337" spans="1:7" x14ac:dyDescent="0.25">
      <c r="A337" s="12"/>
      <c r="B337" s="12"/>
      <c r="C337" s="11"/>
      <c r="D337" s="12"/>
      <c r="E337" s="12"/>
      <c r="F337" s="12"/>
      <c r="G337" s="12"/>
    </row>
    <row r="338" spans="1:7" x14ac:dyDescent="0.25">
      <c r="A338" s="12"/>
      <c r="B338" s="12"/>
      <c r="C338" s="11"/>
      <c r="D338" s="12"/>
      <c r="E338" s="12"/>
      <c r="F338" s="12"/>
      <c r="G338" s="12"/>
    </row>
    <row r="339" spans="1:7" x14ac:dyDescent="0.25">
      <c r="A339" s="12"/>
      <c r="B339" s="12"/>
      <c r="C339" s="11"/>
      <c r="D339" s="12"/>
      <c r="E339" s="12"/>
      <c r="F339" s="12"/>
      <c r="G339" s="12"/>
    </row>
    <row r="340" spans="1:7" x14ac:dyDescent="0.25">
      <c r="A340" s="12"/>
      <c r="B340" s="12"/>
      <c r="C340" s="11"/>
      <c r="D340" s="12"/>
      <c r="E340" s="12"/>
      <c r="F340" s="12"/>
      <c r="G340" s="12"/>
    </row>
  </sheetData>
  <mergeCells count="173">
    <mergeCell ref="A299:G299"/>
    <mergeCell ref="B293:G293"/>
    <mergeCell ref="A294:C294"/>
    <mergeCell ref="A297:C297"/>
    <mergeCell ref="A298:D298"/>
    <mergeCell ref="A50:G50"/>
    <mergeCell ref="A75:G75"/>
    <mergeCell ref="A100:G100"/>
    <mergeCell ref="A124:G124"/>
    <mergeCell ref="A147:G147"/>
    <mergeCell ref="A172:G172"/>
    <mergeCell ref="A197:G197"/>
    <mergeCell ref="A222:G222"/>
    <mergeCell ref="A248:G248"/>
    <mergeCell ref="A275:G275"/>
    <mergeCell ref="A277:G277"/>
    <mergeCell ref="B279:G279"/>
    <mergeCell ref="A280:C280"/>
    <mergeCell ref="B281:G281"/>
    <mergeCell ref="A282:C282"/>
    <mergeCell ref="B283:G283"/>
    <mergeCell ref="A286:A287"/>
    <mergeCell ref="B286:B287"/>
    <mergeCell ref="A292:C292"/>
    <mergeCell ref="A28:D28"/>
    <mergeCell ref="B10:G10"/>
    <mergeCell ref="B12:G12"/>
    <mergeCell ref="B14:G14"/>
    <mergeCell ref="B23:G23"/>
    <mergeCell ref="A22:C22"/>
    <mergeCell ref="A27:C27"/>
    <mergeCell ref="A11:C11"/>
    <mergeCell ref="A13:C13"/>
    <mergeCell ref="A3:G3"/>
    <mergeCell ref="A4:G4"/>
    <mergeCell ref="A6:G6"/>
    <mergeCell ref="A24:F24"/>
    <mergeCell ref="B5:G5"/>
    <mergeCell ref="A8:G8"/>
    <mergeCell ref="A18:A19"/>
    <mergeCell ref="B18:B19"/>
    <mergeCell ref="A16:A17"/>
    <mergeCell ref="B16:B17"/>
    <mergeCell ref="A43:C43"/>
    <mergeCell ref="B44:G44"/>
    <mergeCell ref="A45:F45"/>
    <mergeCell ref="A48:C48"/>
    <mergeCell ref="A49:D49"/>
    <mergeCell ref="B38:G38"/>
    <mergeCell ref="A39:A40"/>
    <mergeCell ref="B39:B40"/>
    <mergeCell ref="A31:G31"/>
    <mergeCell ref="B33:G33"/>
    <mergeCell ref="A35:C35"/>
    <mergeCell ref="B36:G36"/>
    <mergeCell ref="A37:C37"/>
    <mergeCell ref="B59:G59"/>
    <mergeCell ref="A52:G52"/>
    <mergeCell ref="B54:G54"/>
    <mergeCell ref="A56:C56"/>
    <mergeCell ref="B57:G57"/>
    <mergeCell ref="A58:C58"/>
    <mergeCell ref="B63:B64"/>
    <mergeCell ref="A63:A64"/>
    <mergeCell ref="A93:C93"/>
    <mergeCell ref="A77:G77"/>
    <mergeCell ref="B79:G79"/>
    <mergeCell ref="A81:C81"/>
    <mergeCell ref="B82:G82"/>
    <mergeCell ref="A83:C83"/>
    <mergeCell ref="A68:C68"/>
    <mergeCell ref="B69:G69"/>
    <mergeCell ref="A70:F70"/>
    <mergeCell ref="A73:C73"/>
    <mergeCell ref="A74:D74"/>
    <mergeCell ref="A98:C98"/>
    <mergeCell ref="A99:D99"/>
    <mergeCell ref="B84:G84"/>
    <mergeCell ref="A87:A88"/>
    <mergeCell ref="B87:B88"/>
    <mergeCell ref="B94:G94"/>
    <mergeCell ref="A95:F95"/>
    <mergeCell ref="A140:C140"/>
    <mergeCell ref="B141:G141"/>
    <mergeCell ref="A117:C117"/>
    <mergeCell ref="B118:G118"/>
    <mergeCell ref="A119:F119"/>
    <mergeCell ref="A122:C122"/>
    <mergeCell ref="A123:D123"/>
    <mergeCell ref="B109:G109"/>
    <mergeCell ref="A112:A113"/>
    <mergeCell ref="B112:B113"/>
    <mergeCell ref="A102:G102"/>
    <mergeCell ref="B104:G104"/>
    <mergeCell ref="A106:C106"/>
    <mergeCell ref="B107:G107"/>
    <mergeCell ref="A108:C108"/>
    <mergeCell ref="A142:F142"/>
    <mergeCell ref="A145:C145"/>
    <mergeCell ref="A146:D146"/>
    <mergeCell ref="B132:G132"/>
    <mergeCell ref="A135:A136"/>
    <mergeCell ref="B135:B136"/>
    <mergeCell ref="A126:G126"/>
    <mergeCell ref="B128:G128"/>
    <mergeCell ref="A129:C129"/>
    <mergeCell ref="B130:G130"/>
    <mergeCell ref="A131:C131"/>
    <mergeCell ref="A165:C165"/>
    <mergeCell ref="B166:G166"/>
    <mergeCell ref="A167:F167"/>
    <mergeCell ref="A170:C170"/>
    <mergeCell ref="A171:D171"/>
    <mergeCell ref="B157:G157"/>
    <mergeCell ref="A160:A161"/>
    <mergeCell ref="B160:B161"/>
    <mergeCell ref="A149:G149"/>
    <mergeCell ref="B151:G151"/>
    <mergeCell ref="A154:C154"/>
    <mergeCell ref="B155:G155"/>
    <mergeCell ref="A156:C156"/>
    <mergeCell ref="A190:C190"/>
    <mergeCell ref="B191:G191"/>
    <mergeCell ref="A192:F192"/>
    <mergeCell ref="A195:C195"/>
    <mergeCell ref="A196:D196"/>
    <mergeCell ref="B182:G182"/>
    <mergeCell ref="A185:A186"/>
    <mergeCell ref="B185:B186"/>
    <mergeCell ref="A174:G174"/>
    <mergeCell ref="B176:G176"/>
    <mergeCell ref="A179:C179"/>
    <mergeCell ref="B180:G180"/>
    <mergeCell ref="A181:C181"/>
    <mergeCell ref="A215:C215"/>
    <mergeCell ref="B216:G216"/>
    <mergeCell ref="A217:F217"/>
    <mergeCell ref="A220:C220"/>
    <mergeCell ref="A221:D221"/>
    <mergeCell ref="B206:G206"/>
    <mergeCell ref="A209:A210"/>
    <mergeCell ref="B209:B210"/>
    <mergeCell ref="A199:G199"/>
    <mergeCell ref="B201:G201"/>
    <mergeCell ref="A203:C203"/>
    <mergeCell ref="B204:G204"/>
    <mergeCell ref="A205:C205"/>
    <mergeCell ref="A240:C240"/>
    <mergeCell ref="B241:G241"/>
    <mergeCell ref="A246:C246"/>
    <mergeCell ref="A247:D247"/>
    <mergeCell ref="A243:C243"/>
    <mergeCell ref="B231:G231"/>
    <mergeCell ref="A235:A236"/>
    <mergeCell ref="B235:B236"/>
    <mergeCell ref="A224:G224"/>
    <mergeCell ref="B226:G226"/>
    <mergeCell ref="A228:C228"/>
    <mergeCell ref="B229:G229"/>
    <mergeCell ref="A230:C230"/>
    <mergeCell ref="A268:C268"/>
    <mergeCell ref="B269:G269"/>
    <mergeCell ref="A270:C270"/>
    <mergeCell ref="A273:C273"/>
    <mergeCell ref="A274:D274"/>
    <mergeCell ref="B259:G259"/>
    <mergeCell ref="A263:A264"/>
    <mergeCell ref="B263:B264"/>
    <mergeCell ref="A250:G250"/>
    <mergeCell ref="B252:G252"/>
    <mergeCell ref="A256:C256"/>
    <mergeCell ref="B257:G257"/>
    <mergeCell ref="A258:C258"/>
  </mergeCells>
  <printOptions horizontalCentered="1" verticalCentered="1"/>
  <pageMargins left="0.51181102362204722" right="0" top="0.78740157480314965" bottom="0.78740157480314965" header="0.31496062992125984" footer="0.31496062992125984"/>
  <pageSetup paperSize="9" scale="60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workbookViewId="0">
      <selection activeCell="A71" sqref="A71:XFD71"/>
    </sheetView>
  </sheetViews>
  <sheetFormatPr defaultRowHeight="15" x14ac:dyDescent="0.25"/>
  <cols>
    <col min="1" max="1" width="10.7109375" customWidth="1"/>
    <col min="2" max="2" width="42.85546875" customWidth="1"/>
    <col min="3" max="3" width="44" bestFit="1" customWidth="1"/>
    <col min="4" max="4" width="11.5703125" hidden="1" customWidth="1"/>
    <col min="5" max="5" width="15.5703125" bestFit="1" customWidth="1"/>
    <col min="6" max="6" width="15" bestFit="1" customWidth="1"/>
    <col min="7" max="7" width="15.5703125" bestFit="1" customWidth="1"/>
  </cols>
  <sheetData>
    <row r="1" spans="1:7" ht="15.75" x14ac:dyDescent="0.25">
      <c r="A1" s="265" t="s">
        <v>35</v>
      </c>
      <c r="B1" s="265"/>
      <c r="C1" s="265"/>
      <c r="D1" s="265"/>
      <c r="E1" s="265"/>
      <c r="F1" s="265"/>
      <c r="G1" s="265"/>
    </row>
    <row r="2" spans="1:7" ht="15.75" x14ac:dyDescent="0.25">
      <c r="A2" s="265" t="s">
        <v>34</v>
      </c>
      <c r="B2" s="265"/>
      <c r="C2" s="265"/>
      <c r="D2" s="265"/>
      <c r="E2" s="265"/>
      <c r="F2" s="265"/>
      <c r="G2" s="265"/>
    </row>
    <row r="3" spans="1:7" ht="15.75" x14ac:dyDescent="0.25">
      <c r="A3" s="3"/>
      <c r="B3" s="265" t="s">
        <v>30</v>
      </c>
      <c r="C3" s="265"/>
      <c r="D3" s="265"/>
      <c r="E3" s="265"/>
      <c r="F3" s="265"/>
      <c r="G3" s="265"/>
    </row>
    <row r="4" spans="1:7" ht="15.75" x14ac:dyDescent="0.25">
      <c r="A4" s="265" t="s">
        <v>355</v>
      </c>
      <c r="B4" s="265"/>
      <c r="C4" s="265"/>
      <c r="D4" s="265"/>
      <c r="E4" s="265"/>
      <c r="F4" s="265"/>
      <c r="G4" s="265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258" t="s">
        <v>356</v>
      </c>
      <c r="B6" s="258"/>
      <c r="C6" s="258"/>
      <c r="D6" s="258"/>
      <c r="E6" s="258"/>
      <c r="F6" s="258"/>
      <c r="G6" s="258"/>
    </row>
    <row r="7" spans="1:7" ht="38.25" x14ac:dyDescent="0.25">
      <c r="A7" s="13" t="s">
        <v>27</v>
      </c>
      <c r="B7" s="13" t="s">
        <v>28</v>
      </c>
      <c r="C7" s="13" t="s">
        <v>29</v>
      </c>
      <c r="D7" s="13" t="s">
        <v>2</v>
      </c>
      <c r="E7" s="14" t="s">
        <v>357</v>
      </c>
      <c r="F7" s="14" t="s">
        <v>358</v>
      </c>
      <c r="G7" s="14" t="s">
        <v>359</v>
      </c>
    </row>
    <row r="8" spans="1:7" x14ac:dyDescent="0.25">
      <c r="A8" s="15">
        <v>1</v>
      </c>
      <c r="B8" s="254" t="s">
        <v>190</v>
      </c>
      <c r="C8" s="254"/>
      <c r="D8" s="254"/>
      <c r="E8" s="254"/>
      <c r="F8" s="254"/>
      <c r="G8" s="254"/>
    </row>
    <row r="9" spans="1:7" x14ac:dyDescent="0.25">
      <c r="A9" s="194" t="s">
        <v>48</v>
      </c>
      <c r="B9" s="33" t="s">
        <v>360</v>
      </c>
      <c r="C9" s="274" t="s">
        <v>351</v>
      </c>
      <c r="D9" s="194"/>
      <c r="E9" s="28">
        <v>1198716.19</v>
      </c>
      <c r="F9" s="28">
        <v>0</v>
      </c>
      <c r="G9" s="30">
        <f t="shared" ref="G9:G10" si="0">SUM(E9:F9)</f>
        <v>1198716.19</v>
      </c>
    </row>
    <row r="10" spans="1:7" s="1" customFormat="1" x14ac:dyDescent="0.25">
      <c r="A10" s="194" t="s">
        <v>70</v>
      </c>
      <c r="B10" s="33" t="s">
        <v>340</v>
      </c>
      <c r="C10" s="275"/>
      <c r="D10" s="194"/>
      <c r="E10" s="28">
        <v>77300</v>
      </c>
      <c r="F10" s="28">
        <v>0</v>
      </c>
      <c r="G10" s="30">
        <f t="shared" si="0"/>
        <v>77300</v>
      </c>
    </row>
    <row r="11" spans="1:7" x14ac:dyDescent="0.25">
      <c r="A11" s="253" t="s">
        <v>22</v>
      </c>
      <c r="B11" s="253"/>
      <c r="C11" s="253"/>
      <c r="D11" s="16"/>
      <c r="E11" s="106">
        <f>SUM(E9:E10)</f>
        <v>1276016.19</v>
      </c>
      <c r="F11" s="106">
        <f>SUM(F9:F10)</f>
        <v>0</v>
      </c>
      <c r="G11" s="106">
        <f>SUM(G9:G10)</f>
        <v>1276016.19</v>
      </c>
    </row>
    <row r="12" spans="1:7" x14ac:dyDescent="0.25">
      <c r="A12" s="15">
        <v>2</v>
      </c>
      <c r="B12" s="254" t="s">
        <v>191</v>
      </c>
      <c r="C12" s="254"/>
      <c r="D12" s="254"/>
      <c r="E12" s="254"/>
      <c r="F12" s="254"/>
      <c r="G12" s="254"/>
    </row>
    <row r="13" spans="1:7" x14ac:dyDescent="0.25">
      <c r="A13" s="194" t="s">
        <v>218</v>
      </c>
      <c r="B13" s="52" t="s">
        <v>352</v>
      </c>
      <c r="C13" s="195" t="s">
        <v>349</v>
      </c>
      <c r="D13" s="194"/>
      <c r="E13" s="28">
        <f>143691+149820</f>
        <v>293511</v>
      </c>
      <c r="F13" s="28">
        <v>0</v>
      </c>
      <c r="G13" s="30">
        <f t="shared" ref="G13" si="1">SUM(E13:F13)</f>
        <v>293511</v>
      </c>
    </row>
    <row r="14" spans="1:7" x14ac:dyDescent="0.25">
      <c r="A14" s="253" t="s">
        <v>22</v>
      </c>
      <c r="B14" s="253"/>
      <c r="C14" s="253"/>
      <c r="D14" s="16"/>
      <c r="E14" s="106">
        <f>E13</f>
        <v>293511</v>
      </c>
      <c r="F14" s="106">
        <f>F13</f>
        <v>0</v>
      </c>
      <c r="G14" s="106">
        <f>G13</f>
        <v>293511</v>
      </c>
    </row>
    <row r="15" spans="1:7" x14ac:dyDescent="0.25">
      <c r="A15" s="15">
        <v>3</v>
      </c>
      <c r="B15" s="254" t="s">
        <v>187</v>
      </c>
      <c r="C15" s="254"/>
      <c r="D15" s="254"/>
      <c r="E15" s="254"/>
      <c r="F15" s="254"/>
      <c r="G15" s="254"/>
    </row>
    <row r="16" spans="1:7" x14ac:dyDescent="0.25">
      <c r="A16" s="194" t="s">
        <v>4</v>
      </c>
      <c r="B16" s="195" t="s">
        <v>74</v>
      </c>
      <c r="C16" s="195" t="s">
        <v>74</v>
      </c>
      <c r="D16" s="194"/>
      <c r="E16" s="28">
        <f>25742.68</f>
        <v>25742.68</v>
      </c>
      <c r="F16" s="28">
        <f>30309.6+211+4037.24+5623.29+52408.04+9580.74+2816.44+201.75+121309.4</f>
        <v>226497.5</v>
      </c>
      <c r="G16" s="30">
        <f t="shared" ref="G16" si="2">SUM(E16:F16)</f>
        <v>252240.18</v>
      </c>
    </row>
    <row r="17" spans="1:7" s="1" customFormat="1" x14ac:dyDescent="0.25">
      <c r="A17" s="194" t="s">
        <v>5</v>
      </c>
      <c r="B17" s="195" t="s">
        <v>275</v>
      </c>
      <c r="C17" s="195" t="s">
        <v>164</v>
      </c>
      <c r="D17" s="194"/>
      <c r="E17" s="28">
        <v>2144</v>
      </c>
      <c r="F17" s="28">
        <v>0</v>
      </c>
      <c r="G17" s="30">
        <f t="shared" ref="G17" si="3">SUM(E17:F17)</f>
        <v>2144</v>
      </c>
    </row>
    <row r="18" spans="1:7" x14ac:dyDescent="0.25">
      <c r="A18" s="194" t="s">
        <v>6</v>
      </c>
      <c r="B18" s="195" t="s">
        <v>10</v>
      </c>
      <c r="C18" s="195" t="s">
        <v>11</v>
      </c>
      <c r="D18" s="194"/>
      <c r="E18" s="28">
        <f>78523.94+94815.26+86763.83</f>
        <v>260103.03000000003</v>
      </c>
      <c r="F18" s="28">
        <v>0</v>
      </c>
      <c r="G18" s="30">
        <f t="shared" ref="G18" si="4">SUM(E18:F18)</f>
        <v>260103.03000000003</v>
      </c>
    </row>
    <row r="19" spans="1:7" s="1" customFormat="1" ht="25.5" x14ac:dyDescent="0.25">
      <c r="A19" s="194" t="s">
        <v>18</v>
      </c>
      <c r="B19" s="190" t="s">
        <v>332</v>
      </c>
      <c r="C19" s="195" t="s">
        <v>333</v>
      </c>
      <c r="D19" s="194"/>
      <c r="E19" s="28">
        <v>29953.759999999998</v>
      </c>
      <c r="F19" s="28">
        <v>0</v>
      </c>
      <c r="G19" s="30">
        <f t="shared" ref="G19" si="5">SUM(E19:F19)</f>
        <v>29953.759999999998</v>
      </c>
    </row>
    <row r="20" spans="1:7" s="1" customFormat="1" x14ac:dyDescent="0.25">
      <c r="A20" s="194" t="s">
        <v>23</v>
      </c>
      <c r="B20" s="195" t="s">
        <v>7</v>
      </c>
      <c r="C20" s="195" t="s">
        <v>354</v>
      </c>
      <c r="D20" s="194"/>
      <c r="E20" s="28">
        <v>14760</v>
      </c>
      <c r="F20" s="28">
        <v>0</v>
      </c>
      <c r="G20" s="30">
        <f t="shared" ref="G20:G22" si="6">SUM(E20:F20)</f>
        <v>14760</v>
      </c>
    </row>
    <row r="21" spans="1:7" s="1" customFormat="1" x14ac:dyDescent="0.25">
      <c r="A21" s="274" t="s">
        <v>24</v>
      </c>
      <c r="B21" s="272" t="s">
        <v>132</v>
      </c>
      <c r="C21" s="195" t="s">
        <v>327</v>
      </c>
      <c r="D21" s="194"/>
      <c r="E21" s="28">
        <f>1959.32+6468.87+6653.55+6653.55+6653.55+6653.55+6653.55+1774.64+1774.64+1774.64+1774.64+1774.64</f>
        <v>50569.14</v>
      </c>
      <c r="F21" s="28">
        <v>0</v>
      </c>
      <c r="G21" s="30">
        <f t="shared" si="6"/>
        <v>50569.14</v>
      </c>
    </row>
    <row r="22" spans="1:7" s="1" customFormat="1" x14ac:dyDescent="0.25">
      <c r="A22" s="275"/>
      <c r="B22" s="273"/>
      <c r="C22" s="195" t="s">
        <v>361</v>
      </c>
      <c r="D22" s="194"/>
      <c r="E22" s="28">
        <v>14393.04</v>
      </c>
      <c r="F22" s="28">
        <v>0</v>
      </c>
      <c r="G22" s="30">
        <f t="shared" si="6"/>
        <v>14393.04</v>
      </c>
    </row>
    <row r="23" spans="1:7" x14ac:dyDescent="0.25">
      <c r="A23" s="253" t="s">
        <v>22</v>
      </c>
      <c r="B23" s="253"/>
      <c r="C23" s="253"/>
      <c r="D23" s="16"/>
      <c r="E23" s="106">
        <f>SUM(E16:E22)</f>
        <v>397665.65</v>
      </c>
      <c r="F23" s="106">
        <f>SUM(F16:F22)</f>
        <v>226497.5</v>
      </c>
      <c r="G23" s="18">
        <f>SUM(G16:G22)</f>
        <v>624163.15</v>
      </c>
    </row>
    <row r="24" spans="1:7" x14ac:dyDescent="0.25">
      <c r="A24" s="15">
        <v>4</v>
      </c>
      <c r="B24" s="254" t="s">
        <v>192</v>
      </c>
      <c r="C24" s="254"/>
      <c r="D24" s="254"/>
      <c r="E24" s="254"/>
      <c r="F24" s="254"/>
      <c r="G24" s="254"/>
    </row>
    <row r="25" spans="1:7" x14ac:dyDescent="0.25">
      <c r="A25" s="253" t="s">
        <v>22</v>
      </c>
      <c r="B25" s="253"/>
      <c r="C25" s="253"/>
      <c r="D25" s="16"/>
      <c r="E25" s="106">
        <v>0</v>
      </c>
      <c r="F25" s="106">
        <v>0</v>
      </c>
      <c r="G25" s="18">
        <v>0</v>
      </c>
    </row>
    <row r="26" spans="1:7" x14ac:dyDescent="0.25">
      <c r="A26" s="15">
        <v>5</v>
      </c>
      <c r="B26" s="267" t="s">
        <v>193</v>
      </c>
      <c r="C26" s="268"/>
      <c r="D26" s="268"/>
      <c r="E26" s="268"/>
      <c r="F26" s="268"/>
      <c r="G26" s="269"/>
    </row>
    <row r="27" spans="1:7" x14ac:dyDescent="0.25">
      <c r="A27" s="194" t="s">
        <v>32</v>
      </c>
      <c r="B27" s="33" t="s">
        <v>3</v>
      </c>
      <c r="C27" s="195" t="s">
        <v>19</v>
      </c>
      <c r="D27" s="194"/>
      <c r="E27" s="28">
        <v>93191.42</v>
      </c>
      <c r="F27" s="28">
        <v>0</v>
      </c>
      <c r="G27" s="28">
        <f>SUM(E27:F27)</f>
        <v>93191.42</v>
      </c>
    </row>
    <row r="28" spans="1:7" x14ac:dyDescent="0.25">
      <c r="A28" s="253" t="s">
        <v>22</v>
      </c>
      <c r="B28" s="253"/>
      <c r="C28" s="253"/>
      <c r="D28" s="16"/>
      <c r="E28" s="106">
        <f>E27</f>
        <v>93191.42</v>
      </c>
      <c r="F28" s="106">
        <f>F27</f>
        <v>0</v>
      </c>
      <c r="G28" s="18">
        <f>SUM(E28:F28)</f>
        <v>93191.42</v>
      </c>
    </row>
    <row r="29" spans="1:7" x14ac:dyDescent="0.25">
      <c r="A29" s="255" t="s">
        <v>1</v>
      </c>
      <c r="B29" s="255"/>
      <c r="C29" s="255"/>
      <c r="D29" s="255"/>
      <c r="E29" s="39">
        <f>E11+E14+E23+E25+E28</f>
        <v>2060384.2599999998</v>
      </c>
      <c r="F29" s="39">
        <f>F11+F14++F25+F28+F23</f>
        <v>226497.5</v>
      </c>
      <c r="G29" s="39">
        <f>G11+G14+G23+G25+G28</f>
        <v>2286881.7599999998</v>
      </c>
    </row>
    <row r="30" spans="1:7" x14ac:dyDescent="0.25">
      <c r="A30" s="10" t="s">
        <v>33</v>
      </c>
      <c r="B30" s="10"/>
      <c r="C30" s="11"/>
      <c r="D30" s="12"/>
      <c r="E30" s="108"/>
      <c r="F30" s="108"/>
      <c r="G30" s="108"/>
    </row>
    <row r="32" spans="1:7" x14ac:dyDescent="0.25">
      <c r="A32" s="258" t="s">
        <v>362</v>
      </c>
      <c r="B32" s="258"/>
      <c r="C32" s="258"/>
      <c r="D32" s="258"/>
      <c r="E32" s="258"/>
      <c r="F32" s="258"/>
      <c r="G32" s="258"/>
    </row>
    <row r="33" spans="1:7" ht="38.25" x14ac:dyDescent="0.25">
      <c r="A33" s="13" t="s">
        <v>27</v>
      </c>
      <c r="B33" s="13" t="s">
        <v>28</v>
      </c>
      <c r="C33" s="13" t="s">
        <v>29</v>
      </c>
      <c r="D33" s="13" t="s">
        <v>2</v>
      </c>
      <c r="E33" s="14" t="s">
        <v>357</v>
      </c>
      <c r="F33" s="14" t="s">
        <v>358</v>
      </c>
      <c r="G33" s="14" t="s">
        <v>359</v>
      </c>
    </row>
    <row r="34" spans="1:7" x14ac:dyDescent="0.25">
      <c r="A34" s="15">
        <v>1</v>
      </c>
      <c r="B34" s="254" t="s">
        <v>190</v>
      </c>
      <c r="C34" s="254"/>
      <c r="D34" s="254"/>
      <c r="E34" s="254"/>
      <c r="F34" s="254"/>
      <c r="G34" s="254"/>
    </row>
    <row r="35" spans="1:7" x14ac:dyDescent="0.25">
      <c r="A35" s="194" t="s">
        <v>48</v>
      </c>
      <c r="B35" s="33" t="s">
        <v>340</v>
      </c>
      <c r="C35" s="196" t="s">
        <v>351</v>
      </c>
      <c r="D35" s="194"/>
      <c r="E35" s="28">
        <f>66993.33+13830.18</f>
        <v>80823.510000000009</v>
      </c>
      <c r="F35" s="28">
        <v>0</v>
      </c>
      <c r="G35" s="30">
        <f t="shared" ref="G35" si="7">SUM(E35:F35)</f>
        <v>80823.510000000009</v>
      </c>
    </row>
    <row r="36" spans="1:7" x14ac:dyDescent="0.25">
      <c r="A36" s="253" t="s">
        <v>22</v>
      </c>
      <c r="B36" s="253"/>
      <c r="C36" s="253"/>
      <c r="D36" s="16"/>
      <c r="E36" s="106">
        <f>SUM(E35:E35)</f>
        <v>80823.510000000009</v>
      </c>
      <c r="F36" s="106">
        <f>SUM(F35:F35)</f>
        <v>0</v>
      </c>
      <c r="G36" s="106">
        <f>SUM(G35:G35)</f>
        <v>80823.510000000009</v>
      </c>
    </row>
    <row r="37" spans="1:7" x14ac:dyDescent="0.25">
      <c r="A37" s="15">
        <v>2</v>
      </c>
      <c r="B37" s="254" t="s">
        <v>191</v>
      </c>
      <c r="C37" s="254"/>
      <c r="D37" s="254"/>
      <c r="E37" s="254"/>
      <c r="F37" s="254"/>
      <c r="G37" s="254"/>
    </row>
    <row r="38" spans="1:7" x14ac:dyDescent="0.25">
      <c r="A38" s="194" t="s">
        <v>218</v>
      </c>
      <c r="B38" s="52" t="s">
        <v>352</v>
      </c>
      <c r="C38" s="195" t="s">
        <v>349</v>
      </c>
      <c r="D38" s="194"/>
      <c r="E38" s="28">
        <v>0</v>
      </c>
      <c r="F38" s="28">
        <v>0</v>
      </c>
      <c r="G38" s="30">
        <f t="shared" ref="G38" si="8">SUM(E38:F38)</f>
        <v>0</v>
      </c>
    </row>
    <row r="39" spans="1:7" x14ac:dyDescent="0.25">
      <c r="A39" s="253" t="s">
        <v>22</v>
      </c>
      <c r="B39" s="253"/>
      <c r="C39" s="253"/>
      <c r="D39" s="16"/>
      <c r="E39" s="106">
        <f>E38</f>
        <v>0</v>
      </c>
      <c r="F39" s="106">
        <f>F38</f>
        <v>0</v>
      </c>
      <c r="G39" s="106">
        <f>G38</f>
        <v>0</v>
      </c>
    </row>
    <row r="40" spans="1:7" x14ac:dyDescent="0.25">
      <c r="A40" s="15">
        <v>3</v>
      </c>
      <c r="B40" s="254" t="s">
        <v>187</v>
      </c>
      <c r="C40" s="254"/>
      <c r="D40" s="254"/>
      <c r="E40" s="254"/>
      <c r="F40" s="254"/>
      <c r="G40" s="254"/>
    </row>
    <row r="41" spans="1:7" x14ac:dyDescent="0.25">
      <c r="A41" s="194" t="s">
        <v>4</v>
      </c>
      <c r="B41" s="195" t="s">
        <v>74</v>
      </c>
      <c r="C41" s="195" t="s">
        <v>74</v>
      </c>
      <c r="D41" s="194"/>
      <c r="E41" s="28">
        <v>0</v>
      </c>
      <c r="F41" s="28">
        <f>285286.95-12319</f>
        <v>272967.95</v>
      </c>
      <c r="G41" s="30">
        <f t="shared" ref="G41" si="9">SUM(E41:F41)</f>
        <v>272967.95</v>
      </c>
    </row>
    <row r="42" spans="1:7" ht="25.5" x14ac:dyDescent="0.25">
      <c r="A42" s="194" t="s">
        <v>5</v>
      </c>
      <c r="B42" s="190" t="s">
        <v>332</v>
      </c>
      <c r="C42" s="195" t="s">
        <v>333</v>
      </c>
      <c r="D42" s="194"/>
      <c r="E42" s="28">
        <f>29953.76</f>
        <v>29953.759999999998</v>
      </c>
      <c r="F42" s="28">
        <v>0</v>
      </c>
      <c r="G42" s="30">
        <f t="shared" ref="G42" si="10">SUM(E42:F42)</f>
        <v>29953.759999999998</v>
      </c>
    </row>
    <row r="43" spans="1:7" x14ac:dyDescent="0.25">
      <c r="A43" s="274" t="s">
        <v>6</v>
      </c>
      <c r="B43" s="272" t="s">
        <v>132</v>
      </c>
      <c r="C43" s="195" t="s">
        <v>327</v>
      </c>
      <c r="D43" s="194"/>
      <c r="E43" s="28">
        <v>4731.12</v>
      </c>
      <c r="F43" s="28">
        <v>0</v>
      </c>
      <c r="G43" s="30">
        <f t="shared" ref="G43:G46" si="11">SUM(E43:F43)</f>
        <v>4731.12</v>
      </c>
    </row>
    <row r="44" spans="1:7" x14ac:dyDescent="0.25">
      <c r="A44" s="279"/>
      <c r="B44" s="276"/>
      <c r="C44" s="195" t="s">
        <v>361</v>
      </c>
      <c r="D44" s="194"/>
      <c r="E44" s="28">
        <f>14393.04</f>
        <v>14393.04</v>
      </c>
      <c r="F44" s="28">
        <v>0</v>
      </c>
      <c r="G44" s="30">
        <f t="shared" si="11"/>
        <v>14393.04</v>
      </c>
    </row>
    <row r="45" spans="1:7" s="1" customFormat="1" x14ac:dyDescent="0.25">
      <c r="A45" s="275"/>
      <c r="B45" s="273"/>
      <c r="C45" s="195" t="s">
        <v>363</v>
      </c>
      <c r="D45" s="194"/>
      <c r="E45" s="28">
        <f>14550</f>
        <v>14550</v>
      </c>
      <c r="F45" s="28">
        <v>12319</v>
      </c>
      <c r="G45" s="30">
        <f t="shared" si="11"/>
        <v>26869</v>
      </c>
    </row>
    <row r="46" spans="1:7" s="1" customFormat="1" x14ac:dyDescent="0.25">
      <c r="A46" s="197" t="s">
        <v>18</v>
      </c>
      <c r="B46" s="195" t="s">
        <v>256</v>
      </c>
      <c r="C46" s="195" t="s">
        <v>262</v>
      </c>
      <c r="D46" s="194"/>
      <c r="E46" s="28">
        <f>75651.02+7751.48+75651.01+7751.48</f>
        <v>166804.99000000002</v>
      </c>
      <c r="F46" s="28">
        <v>0</v>
      </c>
      <c r="G46" s="30">
        <f t="shared" si="11"/>
        <v>166804.99000000002</v>
      </c>
    </row>
    <row r="47" spans="1:7" s="1" customFormat="1" x14ac:dyDescent="0.25">
      <c r="A47" s="274" t="s">
        <v>23</v>
      </c>
      <c r="B47" s="272" t="s">
        <v>13</v>
      </c>
      <c r="C47" s="195" t="s">
        <v>324</v>
      </c>
      <c r="D47" s="194"/>
      <c r="E47" s="28">
        <f>9.05+810.92+93.56+812.81</f>
        <v>1726.34</v>
      </c>
      <c r="F47" s="28">
        <v>0</v>
      </c>
      <c r="G47" s="30">
        <f t="shared" ref="G47:G48" si="12">SUM(E47:F47)</f>
        <v>1726.34</v>
      </c>
    </row>
    <row r="48" spans="1:7" s="1" customFormat="1" x14ac:dyDescent="0.25">
      <c r="A48" s="275"/>
      <c r="B48" s="273"/>
      <c r="C48" s="195" t="s">
        <v>318</v>
      </c>
      <c r="D48" s="194"/>
      <c r="E48" s="28">
        <f>586.45+6.11+118.51+662.54</f>
        <v>1373.6100000000001</v>
      </c>
      <c r="F48" s="28">
        <v>0</v>
      </c>
      <c r="G48" s="30">
        <f t="shared" si="12"/>
        <v>1373.6100000000001</v>
      </c>
    </row>
    <row r="49" spans="1:7" s="1" customFormat="1" x14ac:dyDescent="0.25">
      <c r="A49" s="197" t="s">
        <v>24</v>
      </c>
      <c r="B49" s="33" t="s">
        <v>275</v>
      </c>
      <c r="C49" s="195" t="s">
        <v>317</v>
      </c>
      <c r="D49" s="194"/>
      <c r="E49" s="28">
        <f>71570+160000</f>
        <v>231570</v>
      </c>
      <c r="F49" s="28">
        <v>0</v>
      </c>
      <c r="G49" s="30">
        <f t="shared" ref="G49" si="13">SUM(E49:F49)</f>
        <v>231570</v>
      </c>
    </row>
    <row r="50" spans="1:7" s="1" customFormat="1" ht="25.5" x14ac:dyDescent="0.25">
      <c r="A50" s="197" t="s">
        <v>25</v>
      </c>
      <c r="B50" s="201" t="s">
        <v>112</v>
      </c>
      <c r="C50" s="195" t="s">
        <v>113</v>
      </c>
      <c r="D50" s="194"/>
      <c r="E50" s="28">
        <f>24273.22</f>
        <v>24273.22</v>
      </c>
      <c r="F50" s="28">
        <v>0</v>
      </c>
      <c r="G50" s="30">
        <f t="shared" ref="G50" si="14">SUM(E50:F50)</f>
        <v>24273.22</v>
      </c>
    </row>
    <row r="51" spans="1:7" x14ac:dyDescent="0.25">
      <c r="A51" s="253" t="s">
        <v>22</v>
      </c>
      <c r="B51" s="253"/>
      <c r="C51" s="253"/>
      <c r="D51" s="16"/>
      <c r="E51" s="106">
        <f>SUM(E41:E50)</f>
        <v>489376.07999999996</v>
      </c>
      <c r="F51" s="106">
        <f>SUM(F41:F50)</f>
        <v>285286.95</v>
      </c>
      <c r="G51" s="106">
        <f>SUM(G41:G50)</f>
        <v>774663.03</v>
      </c>
    </row>
    <row r="52" spans="1:7" x14ac:dyDescent="0.25">
      <c r="A52" s="15">
        <v>4</v>
      </c>
      <c r="B52" s="254" t="s">
        <v>192</v>
      </c>
      <c r="C52" s="254"/>
      <c r="D52" s="254"/>
      <c r="E52" s="254"/>
      <c r="F52" s="254"/>
      <c r="G52" s="254"/>
    </row>
    <row r="53" spans="1:7" x14ac:dyDescent="0.25">
      <c r="A53" s="253" t="s">
        <v>22</v>
      </c>
      <c r="B53" s="253"/>
      <c r="C53" s="253"/>
      <c r="D53" s="16"/>
      <c r="E53" s="106">
        <v>0</v>
      </c>
      <c r="F53" s="106">
        <v>0</v>
      </c>
      <c r="G53" s="18">
        <v>0</v>
      </c>
    </row>
    <row r="54" spans="1:7" x14ac:dyDescent="0.25">
      <c r="A54" s="15">
        <v>5</v>
      </c>
      <c r="B54" s="267" t="s">
        <v>193</v>
      </c>
      <c r="C54" s="268"/>
      <c r="D54" s="268"/>
      <c r="E54" s="268"/>
      <c r="F54" s="268"/>
      <c r="G54" s="269"/>
    </row>
    <row r="55" spans="1:7" x14ac:dyDescent="0.25">
      <c r="A55" s="194" t="s">
        <v>32</v>
      </c>
      <c r="B55" s="33" t="s">
        <v>3</v>
      </c>
      <c r="C55" s="195" t="s">
        <v>19</v>
      </c>
      <c r="D55" s="194"/>
      <c r="E55" s="28">
        <v>0</v>
      </c>
      <c r="F55" s="28">
        <v>83547.81</v>
      </c>
      <c r="G55" s="28">
        <f>SUM(E55:F55)</f>
        <v>83547.81</v>
      </c>
    </row>
    <row r="56" spans="1:7" x14ac:dyDescent="0.25">
      <c r="A56" s="253" t="s">
        <v>22</v>
      </c>
      <c r="B56" s="253"/>
      <c r="C56" s="253"/>
      <c r="D56" s="16"/>
      <c r="E56" s="106">
        <f>E55</f>
        <v>0</v>
      </c>
      <c r="F56" s="106">
        <f>F55</f>
        <v>83547.81</v>
      </c>
      <c r="G56" s="18">
        <f>SUM(E56:F56)</f>
        <v>83547.81</v>
      </c>
    </row>
    <row r="57" spans="1:7" x14ac:dyDescent="0.25">
      <c r="A57" s="255" t="s">
        <v>1</v>
      </c>
      <c r="B57" s="255"/>
      <c r="C57" s="255"/>
      <c r="D57" s="255"/>
      <c r="E57" s="39">
        <f>E36+E39+E51+E53+E56</f>
        <v>570199.59</v>
      </c>
      <c r="F57" s="39">
        <f>F36+F39++F53+F56+F51</f>
        <v>368834.76</v>
      </c>
      <c r="G57" s="39">
        <f>G36+G39+G51+G53+G56</f>
        <v>939034.35000000009</v>
      </c>
    </row>
    <row r="58" spans="1:7" x14ac:dyDescent="0.25">
      <c r="A58" s="10" t="s">
        <v>33</v>
      </c>
      <c r="B58" s="10"/>
      <c r="C58" s="11"/>
      <c r="D58" s="12"/>
      <c r="E58" s="108"/>
      <c r="F58" s="108"/>
      <c r="G58" s="108"/>
    </row>
    <row r="60" spans="1:7" x14ac:dyDescent="0.25">
      <c r="A60" s="258" t="s">
        <v>364</v>
      </c>
      <c r="B60" s="258"/>
      <c r="C60" s="258"/>
      <c r="D60" s="258"/>
      <c r="E60" s="258"/>
      <c r="F60" s="258"/>
      <c r="G60" s="258"/>
    </row>
    <row r="61" spans="1:7" ht="38.25" x14ac:dyDescent="0.25">
      <c r="A61" s="13" t="s">
        <v>27</v>
      </c>
      <c r="B61" s="13" t="s">
        <v>28</v>
      </c>
      <c r="C61" s="13" t="s">
        <v>29</v>
      </c>
      <c r="D61" s="13" t="s">
        <v>2</v>
      </c>
      <c r="E61" s="14" t="s">
        <v>357</v>
      </c>
      <c r="F61" s="14" t="s">
        <v>358</v>
      </c>
      <c r="G61" s="14" t="s">
        <v>359</v>
      </c>
    </row>
    <row r="62" spans="1:7" x14ac:dyDescent="0.25">
      <c r="A62" s="15">
        <v>1</v>
      </c>
      <c r="B62" s="254" t="s">
        <v>190</v>
      </c>
      <c r="C62" s="254"/>
      <c r="D62" s="254"/>
      <c r="E62" s="254"/>
      <c r="F62" s="254"/>
      <c r="G62" s="254"/>
    </row>
    <row r="63" spans="1:7" x14ac:dyDescent="0.25">
      <c r="A63" s="253" t="s">
        <v>22</v>
      </c>
      <c r="B63" s="253"/>
      <c r="C63" s="253"/>
      <c r="D63" s="16"/>
      <c r="E63" s="106">
        <v>0</v>
      </c>
      <c r="F63" s="106">
        <v>0</v>
      </c>
      <c r="G63" s="106">
        <v>0</v>
      </c>
    </row>
    <row r="64" spans="1:7" x14ac:dyDescent="0.25">
      <c r="A64" s="15">
        <v>2</v>
      </c>
      <c r="B64" s="254" t="s">
        <v>191</v>
      </c>
      <c r="C64" s="254"/>
      <c r="D64" s="254"/>
      <c r="E64" s="254"/>
      <c r="F64" s="254"/>
      <c r="G64" s="254"/>
    </row>
    <row r="65" spans="1:7" x14ac:dyDescent="0.25">
      <c r="A65" s="253" t="s">
        <v>22</v>
      </c>
      <c r="B65" s="253"/>
      <c r="C65" s="253"/>
      <c r="D65" s="16"/>
      <c r="E65" s="106">
        <v>0</v>
      </c>
      <c r="F65" s="106">
        <v>0</v>
      </c>
      <c r="G65" s="106">
        <v>0</v>
      </c>
    </row>
    <row r="66" spans="1:7" x14ac:dyDescent="0.25">
      <c r="A66" s="15">
        <v>3</v>
      </c>
      <c r="B66" s="254" t="s">
        <v>187</v>
      </c>
      <c r="C66" s="254"/>
      <c r="D66" s="254"/>
      <c r="E66" s="254"/>
      <c r="F66" s="254"/>
      <c r="G66" s="254"/>
    </row>
    <row r="67" spans="1:7" x14ac:dyDescent="0.25">
      <c r="A67" s="194" t="s">
        <v>4</v>
      </c>
      <c r="B67" s="195" t="s">
        <v>74</v>
      </c>
      <c r="C67" s="195" t="s">
        <v>74</v>
      </c>
      <c r="D67" s="194"/>
      <c r="E67" s="28">
        <v>0</v>
      </c>
      <c r="F67" s="28">
        <f>740490.49-476329.81</f>
        <v>264160.68</v>
      </c>
      <c r="G67" s="30">
        <f t="shared" ref="G67" si="15">SUM(E67:F67)</f>
        <v>264160.68</v>
      </c>
    </row>
    <row r="68" spans="1:7" ht="25.5" x14ac:dyDescent="0.25">
      <c r="A68" s="194" t="s">
        <v>5</v>
      </c>
      <c r="B68" s="190" t="s">
        <v>332</v>
      </c>
      <c r="C68" s="195" t="s">
        <v>333</v>
      </c>
      <c r="D68" s="194"/>
      <c r="E68" s="28">
        <v>0</v>
      </c>
      <c r="F68" s="28">
        <f>22964.55+6989.21</f>
        <v>29953.759999999998</v>
      </c>
      <c r="G68" s="30">
        <f t="shared" ref="G68" si="16">SUM(E68:F68)</f>
        <v>29953.759999999998</v>
      </c>
    </row>
    <row r="69" spans="1:7" x14ac:dyDescent="0.25">
      <c r="A69" s="279" t="s">
        <v>6</v>
      </c>
      <c r="B69" s="276" t="s">
        <v>132</v>
      </c>
      <c r="C69" s="195" t="s">
        <v>361</v>
      </c>
      <c r="D69" s="194"/>
      <c r="E69" s="28">
        <f>119.9+13673.34</f>
        <v>13793.24</v>
      </c>
      <c r="F69" s="28">
        <v>0</v>
      </c>
      <c r="G69" s="30">
        <f t="shared" ref="G69:G71" si="17">SUM(E69:F69)</f>
        <v>13793.24</v>
      </c>
    </row>
    <row r="70" spans="1:7" x14ac:dyDescent="0.25">
      <c r="A70" s="275"/>
      <c r="B70" s="273"/>
      <c r="C70" s="195" t="s">
        <v>363</v>
      </c>
      <c r="D70" s="194"/>
      <c r="E70" s="28">
        <v>0</v>
      </c>
      <c r="F70" s="28">
        <f>9478.29</f>
        <v>9478.2900000000009</v>
      </c>
      <c r="G70" s="30">
        <f t="shared" si="17"/>
        <v>9478.2900000000009</v>
      </c>
    </row>
    <row r="71" spans="1:7" x14ac:dyDescent="0.25">
      <c r="A71" s="197" t="s">
        <v>18</v>
      </c>
      <c r="B71" s="195" t="s">
        <v>338</v>
      </c>
      <c r="C71" s="195" t="s">
        <v>365</v>
      </c>
      <c r="D71" s="194"/>
      <c r="E71" s="28">
        <f>4950+2970</f>
        <v>7920</v>
      </c>
      <c r="F71" s="28">
        <v>0</v>
      </c>
      <c r="G71" s="30">
        <f t="shared" si="17"/>
        <v>7920</v>
      </c>
    </row>
    <row r="72" spans="1:7" x14ac:dyDescent="0.25">
      <c r="A72" s="274" t="s">
        <v>23</v>
      </c>
      <c r="B72" s="272" t="s">
        <v>13</v>
      </c>
      <c r="C72" s="195" t="s">
        <v>324</v>
      </c>
      <c r="D72" s="194"/>
      <c r="E72" s="28">
        <f>706.25+81.29</f>
        <v>787.54</v>
      </c>
      <c r="F72" s="28">
        <v>0</v>
      </c>
      <c r="G72" s="30">
        <f t="shared" ref="G72:G73" si="18">SUM(E72:F72)</f>
        <v>787.54</v>
      </c>
    </row>
    <row r="73" spans="1:7" x14ac:dyDescent="0.25">
      <c r="A73" s="275"/>
      <c r="B73" s="273"/>
      <c r="C73" s="195" t="s">
        <v>318</v>
      </c>
      <c r="D73" s="194"/>
      <c r="E73" s="28">
        <f>462.68</f>
        <v>462.68</v>
      </c>
      <c r="F73" s="28">
        <f>51.32</f>
        <v>51.32</v>
      </c>
      <c r="G73" s="30">
        <f t="shared" si="18"/>
        <v>514</v>
      </c>
    </row>
    <row r="74" spans="1:7" x14ac:dyDescent="0.25">
      <c r="A74" s="197" t="s">
        <v>24</v>
      </c>
      <c r="B74" s="33" t="s">
        <v>275</v>
      </c>
      <c r="C74" s="195" t="s">
        <v>317</v>
      </c>
      <c r="D74" s="194"/>
      <c r="E74" s="28">
        <v>0</v>
      </c>
      <c r="F74" s="28">
        <f>300294</f>
        <v>300294</v>
      </c>
      <c r="G74" s="30">
        <f t="shared" ref="G74" si="19">SUM(E74:F74)</f>
        <v>300294</v>
      </c>
    </row>
    <row r="75" spans="1:7" ht="25.5" x14ac:dyDescent="0.25">
      <c r="A75" s="197" t="s">
        <v>25</v>
      </c>
      <c r="B75" s="201" t="s">
        <v>112</v>
      </c>
      <c r="C75" s="195" t="s">
        <v>113</v>
      </c>
      <c r="D75" s="194"/>
      <c r="E75" s="28">
        <v>0</v>
      </c>
      <c r="F75" s="28">
        <f>24273.22</f>
        <v>24273.22</v>
      </c>
      <c r="G75" s="30">
        <f t="shared" ref="G75" si="20">SUM(E75:F75)</f>
        <v>24273.22</v>
      </c>
    </row>
    <row r="76" spans="1:7" s="1" customFormat="1" x14ac:dyDescent="0.25">
      <c r="A76" s="197" t="s">
        <v>41</v>
      </c>
      <c r="B76" s="195" t="s">
        <v>10</v>
      </c>
      <c r="C76" s="195" t="s">
        <v>11</v>
      </c>
      <c r="D76" s="194"/>
      <c r="E76" s="28">
        <v>0</v>
      </c>
      <c r="F76" s="28">
        <f>112279.22</f>
        <v>112279.22</v>
      </c>
      <c r="G76" s="30">
        <f t="shared" ref="G76:G77" si="21">SUM(E76:F76)</f>
        <v>112279.22</v>
      </c>
    </row>
    <row r="77" spans="1:7" s="1" customFormat="1" x14ac:dyDescent="0.25">
      <c r="A77" s="197" t="s">
        <v>167</v>
      </c>
      <c r="B77" s="195" t="s">
        <v>7</v>
      </c>
      <c r="C77" s="195" t="s">
        <v>354</v>
      </c>
      <c r="D77" s="194"/>
      <c r="E77" s="28">
        <f>14760*2</f>
        <v>29520</v>
      </c>
      <c r="F77" s="28">
        <v>0</v>
      </c>
      <c r="G77" s="30">
        <f t="shared" si="21"/>
        <v>29520</v>
      </c>
    </row>
    <row r="78" spans="1:7" x14ac:dyDescent="0.25">
      <c r="A78" s="253" t="s">
        <v>22</v>
      </c>
      <c r="B78" s="253"/>
      <c r="C78" s="253"/>
      <c r="D78" s="16"/>
      <c r="E78" s="106">
        <f>SUM(E67:E77)</f>
        <v>52483.46</v>
      </c>
      <c r="F78" s="106">
        <f t="shared" ref="F78:G78" si="22">SUM(F67:F77)</f>
        <v>740490.49</v>
      </c>
      <c r="G78" s="106">
        <f t="shared" si="22"/>
        <v>792973.95</v>
      </c>
    </row>
    <row r="79" spans="1:7" x14ac:dyDescent="0.25">
      <c r="A79" s="15">
        <v>4</v>
      </c>
      <c r="B79" s="254" t="s">
        <v>192</v>
      </c>
      <c r="C79" s="254"/>
      <c r="D79" s="254"/>
      <c r="E79" s="254"/>
      <c r="F79" s="254"/>
      <c r="G79" s="254"/>
    </row>
    <row r="80" spans="1:7" x14ac:dyDescent="0.25">
      <c r="A80" s="253" t="s">
        <v>22</v>
      </c>
      <c r="B80" s="253"/>
      <c r="C80" s="253"/>
      <c r="D80" s="16"/>
      <c r="E80" s="106">
        <v>0</v>
      </c>
      <c r="F80" s="106">
        <v>0</v>
      </c>
      <c r="G80" s="18">
        <v>0</v>
      </c>
    </row>
    <row r="81" spans="1:7" x14ac:dyDescent="0.25">
      <c r="A81" s="15">
        <v>5</v>
      </c>
      <c r="B81" s="267" t="s">
        <v>193</v>
      </c>
      <c r="C81" s="268"/>
      <c r="D81" s="268"/>
      <c r="E81" s="268"/>
      <c r="F81" s="268"/>
      <c r="G81" s="269"/>
    </row>
    <row r="82" spans="1:7" x14ac:dyDescent="0.25">
      <c r="A82" s="253" t="s">
        <v>22</v>
      </c>
      <c r="B82" s="253"/>
      <c r="C82" s="253"/>
      <c r="D82" s="16"/>
      <c r="E82" s="106">
        <v>0</v>
      </c>
      <c r="F82" s="106">
        <v>0</v>
      </c>
      <c r="G82" s="18">
        <v>0</v>
      </c>
    </row>
    <row r="83" spans="1:7" x14ac:dyDescent="0.25">
      <c r="A83" s="255" t="s">
        <v>1</v>
      </c>
      <c r="B83" s="255"/>
      <c r="C83" s="255"/>
      <c r="D83" s="255"/>
      <c r="E83" s="39">
        <f>E63+E65+E78+E80+E82</f>
        <v>52483.46</v>
      </c>
      <c r="F83" s="39">
        <f>F63+F65++F80+F82+F78</f>
        <v>740490.49</v>
      </c>
      <c r="G83" s="39">
        <f>G63+G65+G78+G80+G82</f>
        <v>792973.95</v>
      </c>
    </row>
    <row r="84" spans="1:7" x14ac:dyDescent="0.25">
      <c r="A84" s="10" t="s">
        <v>33</v>
      </c>
      <c r="B84" s="10"/>
      <c r="C84" s="11"/>
      <c r="D84" s="12"/>
      <c r="E84" s="108"/>
      <c r="F84" s="108"/>
      <c r="G84" s="108"/>
    </row>
    <row r="86" spans="1:7" x14ac:dyDescent="0.25">
      <c r="A86" s="258" t="s">
        <v>366</v>
      </c>
      <c r="B86" s="258"/>
      <c r="C86" s="258"/>
      <c r="D86" s="258"/>
      <c r="E86" s="258"/>
      <c r="F86" s="258"/>
      <c r="G86" s="258"/>
    </row>
    <row r="87" spans="1:7" ht="38.25" x14ac:dyDescent="0.25">
      <c r="A87" s="13" t="s">
        <v>27</v>
      </c>
      <c r="B87" s="13" t="s">
        <v>28</v>
      </c>
      <c r="C87" s="13" t="s">
        <v>29</v>
      </c>
      <c r="D87" s="13" t="s">
        <v>2</v>
      </c>
      <c r="E87" s="14" t="s">
        <v>357</v>
      </c>
      <c r="F87" s="14" t="s">
        <v>358</v>
      </c>
      <c r="G87" s="14" t="s">
        <v>359</v>
      </c>
    </row>
    <row r="88" spans="1:7" x14ac:dyDescent="0.25">
      <c r="A88" s="15">
        <v>1</v>
      </c>
      <c r="B88" s="254" t="s">
        <v>190</v>
      </c>
      <c r="C88" s="254"/>
      <c r="D88" s="254"/>
      <c r="E88" s="254"/>
      <c r="F88" s="254"/>
      <c r="G88" s="254"/>
    </row>
    <row r="89" spans="1:7" x14ac:dyDescent="0.25">
      <c r="A89" s="253" t="s">
        <v>22</v>
      </c>
      <c r="B89" s="253"/>
      <c r="C89" s="253"/>
      <c r="D89" s="16"/>
      <c r="E89" s="106">
        <v>0</v>
      </c>
      <c r="F89" s="106">
        <v>0</v>
      </c>
      <c r="G89" s="106">
        <v>0</v>
      </c>
    </row>
    <row r="90" spans="1:7" x14ac:dyDescent="0.25">
      <c r="A90" s="15">
        <v>2</v>
      </c>
      <c r="B90" s="254" t="s">
        <v>191</v>
      </c>
      <c r="C90" s="254"/>
      <c r="D90" s="254"/>
      <c r="E90" s="254"/>
      <c r="F90" s="254"/>
      <c r="G90" s="254"/>
    </row>
    <row r="91" spans="1:7" x14ac:dyDescent="0.25">
      <c r="A91" s="253" t="s">
        <v>22</v>
      </c>
      <c r="B91" s="253"/>
      <c r="C91" s="253"/>
      <c r="D91" s="16"/>
      <c r="E91" s="106">
        <v>0</v>
      </c>
      <c r="F91" s="106">
        <v>0</v>
      </c>
      <c r="G91" s="106">
        <v>0</v>
      </c>
    </row>
    <row r="92" spans="1:7" x14ac:dyDescent="0.25">
      <c r="A92" s="15">
        <v>3</v>
      </c>
      <c r="B92" s="254" t="s">
        <v>187</v>
      </c>
      <c r="C92" s="254"/>
      <c r="D92" s="254"/>
      <c r="E92" s="254"/>
      <c r="F92" s="254"/>
      <c r="G92" s="254"/>
    </row>
    <row r="93" spans="1:7" x14ac:dyDescent="0.25">
      <c r="A93" s="194" t="s">
        <v>4</v>
      </c>
      <c r="B93" s="195" t="s">
        <v>74</v>
      </c>
      <c r="C93" s="195" t="s">
        <v>74</v>
      </c>
      <c r="D93" s="194"/>
      <c r="E93" s="28">
        <v>0</v>
      </c>
      <c r="F93" s="28">
        <f>651920.18-362520.65</f>
        <v>289399.53000000003</v>
      </c>
      <c r="G93" s="30">
        <f t="shared" ref="G93" si="23">SUM(E93:F93)</f>
        <v>289399.53000000003</v>
      </c>
    </row>
    <row r="94" spans="1:7" ht="25.5" x14ac:dyDescent="0.25">
      <c r="A94" s="194" t="s">
        <v>5</v>
      </c>
      <c r="B94" s="190" t="s">
        <v>332</v>
      </c>
      <c r="C94" s="195" t="s">
        <v>333</v>
      </c>
      <c r="D94" s="194"/>
      <c r="E94" s="28">
        <v>0</v>
      </c>
      <c r="F94" s="28">
        <f>29953.76</f>
        <v>29953.759999999998</v>
      </c>
      <c r="G94" s="30">
        <f t="shared" ref="G94" si="24">SUM(E94:F94)</f>
        <v>29953.759999999998</v>
      </c>
    </row>
    <row r="95" spans="1:7" x14ac:dyDescent="0.25">
      <c r="A95" s="197" t="s">
        <v>6</v>
      </c>
      <c r="B95" s="196" t="s">
        <v>132</v>
      </c>
      <c r="C95" s="195" t="s">
        <v>363</v>
      </c>
      <c r="D95" s="194"/>
      <c r="E95" s="28">
        <v>0</v>
      </c>
      <c r="F95" s="28">
        <f>12222</f>
        <v>12222</v>
      </c>
      <c r="G95" s="30">
        <f t="shared" ref="G95" si="25">SUM(E95:F95)</f>
        <v>12222</v>
      </c>
    </row>
    <row r="96" spans="1:7" x14ac:dyDescent="0.25">
      <c r="A96" s="197" t="s">
        <v>18</v>
      </c>
      <c r="B96" s="33" t="s">
        <v>275</v>
      </c>
      <c r="C96" s="195" t="s">
        <v>317</v>
      </c>
      <c r="D96" s="194"/>
      <c r="E96" s="28">
        <v>0</v>
      </c>
      <c r="F96" s="28">
        <f>191979+23501.07+402.93</f>
        <v>215883</v>
      </c>
      <c r="G96" s="30">
        <f t="shared" ref="G96" si="26">SUM(E96:F96)</f>
        <v>215883</v>
      </c>
    </row>
    <row r="97" spans="1:7" ht="25.5" x14ac:dyDescent="0.25">
      <c r="A97" s="197" t="s">
        <v>23</v>
      </c>
      <c r="B97" s="201" t="s">
        <v>112</v>
      </c>
      <c r="C97" s="195" t="s">
        <v>113</v>
      </c>
      <c r="D97" s="194"/>
      <c r="E97" s="28">
        <v>0</v>
      </c>
      <c r="F97" s="28">
        <f>24273.22</f>
        <v>24273.22</v>
      </c>
      <c r="G97" s="30">
        <f t="shared" ref="G97" si="27">SUM(E97:F97)</f>
        <v>24273.22</v>
      </c>
    </row>
    <row r="98" spans="1:7" s="1" customFormat="1" x14ac:dyDescent="0.25">
      <c r="A98" s="197" t="s">
        <v>24</v>
      </c>
      <c r="B98" s="195" t="s">
        <v>7</v>
      </c>
      <c r="C98" s="195" t="s">
        <v>354</v>
      </c>
      <c r="D98" s="194"/>
      <c r="E98" s="28">
        <v>14760</v>
      </c>
      <c r="F98" s="28">
        <v>0</v>
      </c>
      <c r="G98" s="30">
        <f t="shared" ref="G98:G99" si="28">SUM(E98:F98)</f>
        <v>14760</v>
      </c>
    </row>
    <row r="99" spans="1:7" s="1" customFormat="1" x14ac:dyDescent="0.25">
      <c r="A99" s="197" t="s">
        <v>25</v>
      </c>
      <c r="B99" s="195" t="s">
        <v>10</v>
      </c>
      <c r="C99" s="195" t="s">
        <v>11</v>
      </c>
      <c r="D99" s="194"/>
      <c r="E99" s="28">
        <v>0</v>
      </c>
      <c r="F99" s="28">
        <f>80188.67</f>
        <v>80188.67</v>
      </c>
      <c r="G99" s="30">
        <f t="shared" si="28"/>
        <v>80188.67</v>
      </c>
    </row>
    <row r="100" spans="1:7" x14ac:dyDescent="0.25">
      <c r="A100" s="253" t="s">
        <v>22</v>
      </c>
      <c r="B100" s="253"/>
      <c r="C100" s="253"/>
      <c r="D100" s="16"/>
      <c r="E100" s="106">
        <f>SUM(E93:E99)</f>
        <v>14760</v>
      </c>
      <c r="F100" s="106">
        <f t="shared" ref="F100:G100" si="29">SUM(F93:F99)</f>
        <v>651920.18000000005</v>
      </c>
      <c r="G100" s="106">
        <f t="shared" si="29"/>
        <v>666680.18000000005</v>
      </c>
    </row>
    <row r="101" spans="1:7" x14ac:dyDescent="0.25">
      <c r="A101" s="15">
        <v>4</v>
      </c>
      <c r="B101" s="254" t="s">
        <v>192</v>
      </c>
      <c r="C101" s="254"/>
      <c r="D101" s="254"/>
      <c r="E101" s="254"/>
      <c r="F101" s="254"/>
      <c r="G101" s="254"/>
    </row>
    <row r="102" spans="1:7" x14ac:dyDescent="0.25">
      <c r="A102" s="253" t="s">
        <v>22</v>
      </c>
      <c r="B102" s="253"/>
      <c r="C102" s="253"/>
      <c r="D102" s="16"/>
      <c r="E102" s="106">
        <v>0</v>
      </c>
      <c r="F102" s="106">
        <v>0</v>
      </c>
      <c r="G102" s="18">
        <v>0</v>
      </c>
    </row>
    <row r="103" spans="1:7" x14ac:dyDescent="0.25">
      <c r="A103" s="15">
        <v>5</v>
      </c>
      <c r="B103" s="267" t="s">
        <v>193</v>
      </c>
      <c r="C103" s="268"/>
      <c r="D103" s="268"/>
      <c r="E103" s="268"/>
      <c r="F103" s="268"/>
      <c r="G103" s="269"/>
    </row>
    <row r="104" spans="1:7" x14ac:dyDescent="0.25">
      <c r="A104" s="253" t="s">
        <v>22</v>
      </c>
      <c r="B104" s="253"/>
      <c r="C104" s="253"/>
      <c r="D104" s="16"/>
      <c r="E104" s="106">
        <v>0</v>
      </c>
      <c r="F104" s="106">
        <v>0</v>
      </c>
      <c r="G104" s="18">
        <v>0</v>
      </c>
    </row>
    <row r="105" spans="1:7" x14ac:dyDescent="0.25">
      <c r="A105" s="255" t="s">
        <v>1</v>
      </c>
      <c r="B105" s="255"/>
      <c r="C105" s="255"/>
      <c r="D105" s="255"/>
      <c r="E105" s="39">
        <f>E89+E91+E100+E102+E104</f>
        <v>14760</v>
      </c>
      <c r="F105" s="39">
        <f>F89+F91++F102+F104+F100</f>
        <v>651920.18000000005</v>
      </c>
      <c r="G105" s="39">
        <f>G89+G91+G100+G102+G104</f>
        <v>666680.18000000005</v>
      </c>
    </row>
    <row r="106" spans="1:7" x14ac:dyDescent="0.25">
      <c r="A106" s="10" t="s">
        <v>33</v>
      </c>
      <c r="B106" s="10"/>
      <c r="C106" s="11"/>
      <c r="D106" s="12"/>
      <c r="E106" s="108"/>
      <c r="F106" s="108"/>
      <c r="G106" s="108"/>
    </row>
    <row r="108" spans="1:7" x14ac:dyDescent="0.25">
      <c r="A108" s="258" t="s">
        <v>367</v>
      </c>
      <c r="B108" s="258"/>
      <c r="C108" s="258"/>
      <c r="D108" s="258"/>
      <c r="E108" s="258"/>
      <c r="F108" s="258"/>
      <c r="G108" s="258"/>
    </row>
    <row r="109" spans="1:7" ht="38.25" x14ac:dyDescent="0.25">
      <c r="A109" s="13" t="s">
        <v>27</v>
      </c>
      <c r="B109" s="13" t="s">
        <v>28</v>
      </c>
      <c r="C109" s="13" t="s">
        <v>29</v>
      </c>
      <c r="D109" s="13" t="s">
        <v>2</v>
      </c>
      <c r="E109" s="14" t="s">
        <v>357</v>
      </c>
      <c r="F109" s="14" t="s">
        <v>358</v>
      </c>
      <c r="G109" s="14" t="s">
        <v>359</v>
      </c>
    </row>
    <row r="110" spans="1:7" x14ac:dyDescent="0.25">
      <c r="A110" s="15">
        <v>1</v>
      </c>
      <c r="B110" s="254" t="s">
        <v>190</v>
      </c>
      <c r="C110" s="254"/>
      <c r="D110" s="254"/>
      <c r="E110" s="254"/>
      <c r="F110" s="254"/>
      <c r="G110" s="254"/>
    </row>
    <row r="111" spans="1:7" x14ac:dyDescent="0.25">
      <c r="A111" s="253" t="s">
        <v>22</v>
      </c>
      <c r="B111" s="253"/>
      <c r="C111" s="253"/>
      <c r="D111" s="16"/>
      <c r="E111" s="106">
        <v>0</v>
      </c>
      <c r="F111" s="106">
        <v>0</v>
      </c>
      <c r="G111" s="106">
        <v>0</v>
      </c>
    </row>
    <row r="112" spans="1:7" x14ac:dyDescent="0.25">
      <c r="A112" s="15">
        <v>2</v>
      </c>
      <c r="B112" s="254" t="s">
        <v>191</v>
      </c>
      <c r="C112" s="254"/>
      <c r="D112" s="254"/>
      <c r="E112" s="254"/>
      <c r="F112" s="254"/>
      <c r="G112" s="254"/>
    </row>
    <row r="113" spans="1:7" x14ac:dyDescent="0.25">
      <c r="A113" s="253" t="s">
        <v>22</v>
      </c>
      <c r="B113" s="253"/>
      <c r="C113" s="253"/>
      <c r="D113" s="16"/>
      <c r="E113" s="106">
        <v>0</v>
      </c>
      <c r="F113" s="106">
        <v>0</v>
      </c>
      <c r="G113" s="106">
        <v>0</v>
      </c>
    </row>
    <row r="114" spans="1:7" x14ac:dyDescent="0.25">
      <c r="A114" s="15">
        <v>3</v>
      </c>
      <c r="B114" s="254" t="s">
        <v>187</v>
      </c>
      <c r="C114" s="254"/>
      <c r="D114" s="254"/>
      <c r="E114" s="254"/>
      <c r="F114" s="254"/>
      <c r="G114" s="254"/>
    </row>
    <row r="115" spans="1:7" x14ac:dyDescent="0.25">
      <c r="A115" s="198" t="s">
        <v>4</v>
      </c>
      <c r="B115" s="199" t="s">
        <v>74</v>
      </c>
      <c r="C115" s="199" t="s">
        <v>74</v>
      </c>
      <c r="D115" s="198"/>
      <c r="E115" s="28">
        <v>0</v>
      </c>
      <c r="F115" s="28">
        <f>26468.59+32709.7+3082.79+180235.45+4692.25+6281.47+61381.59+11836.96+13920.43+1931.82+1234.68+24.19+1110.1+84.28+11431.24</f>
        <v>356425.54000000004</v>
      </c>
      <c r="G115" s="30">
        <f t="shared" ref="G115" si="30">SUM(E115:F115)</f>
        <v>356425.54000000004</v>
      </c>
    </row>
    <row r="116" spans="1:7" ht="25.5" x14ac:dyDescent="0.25">
      <c r="A116" s="198" t="s">
        <v>5</v>
      </c>
      <c r="B116" s="190" t="s">
        <v>332</v>
      </c>
      <c r="C116" s="199" t="s">
        <v>333</v>
      </c>
      <c r="D116" s="198"/>
      <c r="E116" s="28">
        <v>0</v>
      </c>
      <c r="F116" s="28">
        <f>29953.76+8337.79</f>
        <v>38291.550000000003</v>
      </c>
      <c r="G116" s="30">
        <f t="shared" ref="G116:G117" si="31">SUM(E116:F116)</f>
        <v>38291.550000000003</v>
      </c>
    </row>
    <row r="117" spans="1:7" x14ac:dyDescent="0.25">
      <c r="A117" s="274" t="s">
        <v>6</v>
      </c>
      <c r="B117" s="272" t="s">
        <v>132</v>
      </c>
      <c r="C117" s="199" t="s">
        <v>363</v>
      </c>
      <c r="D117" s="198"/>
      <c r="E117" s="28">
        <v>0</v>
      </c>
      <c r="F117" s="28">
        <v>13774</v>
      </c>
      <c r="G117" s="30">
        <f t="shared" si="31"/>
        <v>13774</v>
      </c>
    </row>
    <row r="118" spans="1:7" s="1" customFormat="1" x14ac:dyDescent="0.25">
      <c r="A118" s="275"/>
      <c r="B118" s="273"/>
      <c r="C118" s="199" t="s">
        <v>361</v>
      </c>
      <c r="D118" s="198"/>
      <c r="E118" s="28">
        <v>0</v>
      </c>
      <c r="F118" s="28">
        <f>14393.04+4317.91</f>
        <v>18710.95</v>
      </c>
      <c r="G118" s="30">
        <f t="shared" ref="G118:G119" si="32">SUM(E118:F118)</f>
        <v>18710.95</v>
      </c>
    </row>
    <row r="119" spans="1:7" x14ac:dyDescent="0.25">
      <c r="A119" s="200" t="s">
        <v>18</v>
      </c>
      <c r="B119" s="199" t="s">
        <v>7</v>
      </c>
      <c r="C119" s="199" t="s">
        <v>354</v>
      </c>
      <c r="D119" s="198"/>
      <c r="E119" s="28">
        <v>0</v>
      </c>
      <c r="F119" s="28">
        <v>14760</v>
      </c>
      <c r="G119" s="30">
        <f t="shared" si="32"/>
        <v>14760</v>
      </c>
    </row>
    <row r="120" spans="1:7" s="1" customFormat="1" x14ac:dyDescent="0.25">
      <c r="A120" s="200" t="s">
        <v>23</v>
      </c>
      <c r="B120" s="199" t="s">
        <v>369</v>
      </c>
      <c r="C120" s="199" t="s">
        <v>368</v>
      </c>
      <c r="D120" s="198"/>
      <c r="E120" s="28">
        <v>0</v>
      </c>
      <c r="F120" s="28">
        <f>9158</f>
        <v>9158</v>
      </c>
      <c r="G120" s="30">
        <f t="shared" ref="G120:G122" si="33">SUM(E120:F120)</f>
        <v>9158</v>
      </c>
    </row>
    <row r="121" spans="1:7" s="1" customFormat="1" x14ac:dyDescent="0.25">
      <c r="A121" s="274" t="s">
        <v>24</v>
      </c>
      <c r="B121" s="272" t="s">
        <v>13</v>
      </c>
      <c r="C121" s="199" t="s">
        <v>324</v>
      </c>
      <c r="D121" s="198"/>
      <c r="E121" s="28">
        <v>0</v>
      </c>
      <c r="F121" s="28">
        <v>920.35</v>
      </c>
      <c r="G121" s="30">
        <f t="shared" si="33"/>
        <v>920.35</v>
      </c>
    </row>
    <row r="122" spans="1:7" s="1" customFormat="1" x14ac:dyDescent="0.25">
      <c r="A122" s="275"/>
      <c r="B122" s="273"/>
      <c r="C122" s="199" t="s">
        <v>318</v>
      </c>
      <c r="D122" s="198"/>
      <c r="E122" s="28">
        <v>0</v>
      </c>
      <c r="F122" s="28">
        <f>800.56+88.79</f>
        <v>889.34999999999991</v>
      </c>
      <c r="G122" s="30">
        <f t="shared" si="33"/>
        <v>889.34999999999991</v>
      </c>
    </row>
    <row r="123" spans="1:7" x14ac:dyDescent="0.25">
      <c r="A123" s="253" t="s">
        <v>22</v>
      </c>
      <c r="B123" s="253"/>
      <c r="C123" s="253"/>
      <c r="D123" s="16"/>
      <c r="E123" s="106">
        <f>SUM(E115:E122)</f>
        <v>0</v>
      </c>
      <c r="F123" s="106">
        <f>SUM(F115:F122)</f>
        <v>452929.74</v>
      </c>
      <c r="G123" s="106">
        <f>SUM(G115:G122)</f>
        <v>452929.74</v>
      </c>
    </row>
    <row r="124" spans="1:7" x14ac:dyDescent="0.25">
      <c r="A124" s="15">
        <v>4</v>
      </c>
      <c r="B124" s="254" t="s">
        <v>192</v>
      </c>
      <c r="C124" s="254"/>
      <c r="D124" s="254"/>
      <c r="E124" s="254"/>
      <c r="F124" s="254"/>
      <c r="G124" s="254"/>
    </row>
    <row r="125" spans="1:7" x14ac:dyDescent="0.25">
      <c r="A125" s="253" t="s">
        <v>22</v>
      </c>
      <c r="B125" s="253"/>
      <c r="C125" s="253"/>
      <c r="D125" s="16"/>
      <c r="E125" s="106">
        <v>0</v>
      </c>
      <c r="F125" s="106">
        <v>0</v>
      </c>
      <c r="G125" s="18">
        <v>0</v>
      </c>
    </row>
    <row r="126" spans="1:7" x14ac:dyDescent="0.25">
      <c r="A126" s="15">
        <v>5</v>
      </c>
      <c r="B126" s="267" t="s">
        <v>193</v>
      </c>
      <c r="C126" s="268"/>
      <c r="D126" s="268"/>
      <c r="E126" s="268"/>
      <c r="F126" s="268"/>
      <c r="G126" s="269"/>
    </row>
    <row r="127" spans="1:7" x14ac:dyDescent="0.25">
      <c r="A127" s="253" t="s">
        <v>22</v>
      </c>
      <c r="B127" s="253"/>
      <c r="C127" s="253"/>
      <c r="D127" s="16"/>
      <c r="E127" s="106">
        <v>0</v>
      </c>
      <c r="F127" s="106">
        <v>0</v>
      </c>
      <c r="G127" s="18">
        <v>0</v>
      </c>
    </row>
    <row r="128" spans="1:7" x14ac:dyDescent="0.25">
      <c r="A128" s="255" t="s">
        <v>1</v>
      </c>
      <c r="B128" s="255"/>
      <c r="C128" s="255"/>
      <c r="D128" s="255"/>
      <c r="E128" s="39">
        <f>E111+E113+E123+E125+E127</f>
        <v>0</v>
      </c>
      <c r="F128" s="39">
        <f>F111+F113++F125+F127+F123</f>
        <v>452929.74</v>
      </c>
      <c r="G128" s="39">
        <f>G111+G113+G123+G125+G127</f>
        <v>452929.74</v>
      </c>
    </row>
    <row r="129" spans="1:7" x14ac:dyDescent="0.25">
      <c r="A129" s="10" t="s">
        <v>33</v>
      </c>
      <c r="B129" s="10"/>
      <c r="C129" s="11"/>
      <c r="D129" s="12"/>
      <c r="E129" s="108"/>
      <c r="F129" s="108"/>
      <c r="G129" s="108"/>
    </row>
    <row r="131" spans="1:7" x14ac:dyDescent="0.25">
      <c r="A131" s="258" t="s">
        <v>370</v>
      </c>
      <c r="B131" s="258"/>
      <c r="C131" s="258"/>
      <c r="D131" s="258"/>
      <c r="E131" s="258"/>
      <c r="F131" s="258"/>
      <c r="G131" s="258"/>
    </row>
    <row r="132" spans="1:7" ht="38.25" x14ac:dyDescent="0.25">
      <c r="A132" s="13" t="s">
        <v>27</v>
      </c>
      <c r="B132" s="13" t="s">
        <v>28</v>
      </c>
      <c r="C132" s="13" t="s">
        <v>29</v>
      </c>
      <c r="D132" s="13" t="s">
        <v>2</v>
      </c>
      <c r="E132" s="14" t="s">
        <v>357</v>
      </c>
      <c r="F132" s="14" t="s">
        <v>358</v>
      </c>
      <c r="G132" s="14" t="s">
        <v>359</v>
      </c>
    </row>
    <row r="133" spans="1:7" x14ac:dyDescent="0.25">
      <c r="A133" s="15">
        <v>1</v>
      </c>
      <c r="B133" s="254" t="s">
        <v>190</v>
      </c>
      <c r="C133" s="254"/>
      <c r="D133" s="254"/>
      <c r="E133" s="254"/>
      <c r="F133" s="254"/>
      <c r="G133" s="254"/>
    </row>
    <row r="134" spans="1:7" x14ac:dyDescent="0.25">
      <c r="A134" s="253" t="s">
        <v>22</v>
      </c>
      <c r="B134" s="253"/>
      <c r="C134" s="253"/>
      <c r="D134" s="16"/>
      <c r="E134" s="106">
        <v>0</v>
      </c>
      <c r="F134" s="106">
        <v>0</v>
      </c>
      <c r="G134" s="106">
        <v>0</v>
      </c>
    </row>
    <row r="135" spans="1:7" x14ac:dyDescent="0.25">
      <c r="A135" s="15">
        <v>2</v>
      </c>
      <c r="B135" s="254" t="s">
        <v>191</v>
      </c>
      <c r="C135" s="254"/>
      <c r="D135" s="254"/>
      <c r="E135" s="254"/>
      <c r="F135" s="254"/>
      <c r="G135" s="254"/>
    </row>
    <row r="136" spans="1:7" x14ac:dyDescent="0.25">
      <c r="A136" s="253" t="s">
        <v>22</v>
      </c>
      <c r="B136" s="253"/>
      <c r="C136" s="253"/>
      <c r="D136" s="16"/>
      <c r="E136" s="106">
        <v>0</v>
      </c>
      <c r="F136" s="106">
        <v>0</v>
      </c>
      <c r="G136" s="106">
        <v>0</v>
      </c>
    </row>
    <row r="137" spans="1:7" x14ac:dyDescent="0.25">
      <c r="A137" s="15">
        <v>3</v>
      </c>
      <c r="B137" s="254" t="s">
        <v>187</v>
      </c>
      <c r="C137" s="254"/>
      <c r="D137" s="254"/>
      <c r="E137" s="254"/>
      <c r="F137" s="254"/>
      <c r="G137" s="254"/>
    </row>
    <row r="138" spans="1:7" x14ac:dyDescent="0.25">
      <c r="A138" s="202" t="s">
        <v>4</v>
      </c>
      <c r="B138" s="203" t="s">
        <v>74</v>
      </c>
      <c r="C138" s="203" t="s">
        <v>74</v>
      </c>
      <c r="D138" s="202"/>
      <c r="E138" s="28">
        <v>0</v>
      </c>
      <c r="F138" s="28">
        <f>847229.31-377166.06</f>
        <v>470063.25000000006</v>
      </c>
      <c r="G138" s="30">
        <f t="shared" ref="G138" si="34">SUM(E138:F138)</f>
        <v>470063.25000000006</v>
      </c>
    </row>
    <row r="139" spans="1:7" ht="25.5" x14ac:dyDescent="0.25">
      <c r="A139" s="202" t="s">
        <v>5</v>
      </c>
      <c r="B139" s="190" t="s">
        <v>332</v>
      </c>
      <c r="C139" s="203" t="s">
        <v>333</v>
      </c>
      <c r="D139" s="202"/>
      <c r="E139" s="28">
        <v>0</v>
      </c>
      <c r="F139" s="28">
        <f>29953.76+3013.66</f>
        <v>32967.42</v>
      </c>
      <c r="G139" s="30">
        <f t="shared" ref="G139" si="35">SUM(E139:F139)</f>
        <v>32967.42</v>
      </c>
    </row>
    <row r="140" spans="1:7" x14ac:dyDescent="0.25">
      <c r="A140" s="205" t="s">
        <v>6</v>
      </c>
      <c r="B140" s="204" t="s">
        <v>132</v>
      </c>
      <c r="C140" s="203" t="s">
        <v>361</v>
      </c>
      <c r="D140" s="202"/>
      <c r="E140" s="28">
        <v>0</v>
      </c>
      <c r="F140" s="28">
        <f>12473.97+14393.04</f>
        <v>26867.010000000002</v>
      </c>
      <c r="G140" s="30">
        <f t="shared" ref="G140:G141" si="36">SUM(E140:F140)</f>
        <v>26867.010000000002</v>
      </c>
    </row>
    <row r="141" spans="1:7" x14ac:dyDescent="0.25">
      <c r="A141" s="205" t="s">
        <v>18</v>
      </c>
      <c r="B141" s="203" t="s">
        <v>7</v>
      </c>
      <c r="C141" s="203" t="s">
        <v>354</v>
      </c>
      <c r="D141" s="202"/>
      <c r="E141" s="28">
        <v>0</v>
      </c>
      <c r="F141" s="28">
        <f>3444+8487</f>
        <v>11931</v>
      </c>
      <c r="G141" s="30">
        <f t="shared" si="36"/>
        <v>11931</v>
      </c>
    </row>
    <row r="142" spans="1:7" x14ac:dyDescent="0.25">
      <c r="A142" s="205" t="s">
        <v>23</v>
      </c>
      <c r="B142" s="203" t="s">
        <v>369</v>
      </c>
      <c r="C142" s="203" t="s">
        <v>371</v>
      </c>
      <c r="D142" s="202"/>
      <c r="E142" s="28">
        <v>0</v>
      </c>
      <c r="F142" s="28">
        <f>9740+4950</f>
        <v>14690</v>
      </c>
      <c r="G142" s="30">
        <f t="shared" ref="G142:G145" si="37">SUM(E142:F142)</f>
        <v>14690</v>
      </c>
    </row>
    <row r="143" spans="1:7" s="1" customFormat="1" x14ac:dyDescent="0.25">
      <c r="A143" s="205" t="s">
        <v>25</v>
      </c>
      <c r="B143" s="204" t="s">
        <v>10</v>
      </c>
      <c r="C143" s="203" t="s">
        <v>11</v>
      </c>
      <c r="D143" s="202"/>
      <c r="E143" s="28">
        <v>0</v>
      </c>
      <c r="F143" s="28">
        <f>102207+98071.43</f>
        <v>200278.43</v>
      </c>
      <c r="G143" s="30">
        <f t="shared" si="37"/>
        <v>200278.43</v>
      </c>
    </row>
    <row r="144" spans="1:7" s="1" customFormat="1" ht="25.5" x14ac:dyDescent="0.25">
      <c r="A144" s="205" t="s">
        <v>41</v>
      </c>
      <c r="B144" s="201" t="s">
        <v>112</v>
      </c>
      <c r="C144" s="203" t="s">
        <v>113</v>
      </c>
      <c r="D144" s="202"/>
      <c r="E144" s="28">
        <v>0</v>
      </c>
      <c r="F144" s="28">
        <f>1798.01+24273.22+22475.21</f>
        <v>48546.44</v>
      </c>
      <c r="G144" s="30">
        <f t="shared" si="37"/>
        <v>48546.44</v>
      </c>
    </row>
    <row r="145" spans="1:7" s="1" customFormat="1" x14ac:dyDescent="0.25">
      <c r="A145" s="205" t="s">
        <v>167</v>
      </c>
      <c r="B145" s="33" t="s">
        <v>275</v>
      </c>
      <c r="C145" s="203" t="s">
        <v>317</v>
      </c>
      <c r="D145" s="202"/>
      <c r="E145" s="28">
        <v>0</v>
      </c>
      <c r="F145" s="28">
        <f>21792.96+20092.8</f>
        <v>41885.759999999995</v>
      </c>
      <c r="G145" s="30">
        <f t="shared" si="37"/>
        <v>41885.759999999995</v>
      </c>
    </row>
    <row r="146" spans="1:7" x14ac:dyDescent="0.25">
      <c r="A146" s="253" t="s">
        <v>22</v>
      </c>
      <c r="B146" s="253"/>
      <c r="C146" s="253"/>
      <c r="D146" s="16"/>
      <c r="E146" s="106">
        <f>SUM(E138:E145)</f>
        <v>0</v>
      </c>
      <c r="F146" s="106">
        <f>SUM(F138:F145)</f>
        <v>847229.31</v>
      </c>
      <c r="G146" s="106">
        <f>SUM(G138:G145)</f>
        <v>847229.31</v>
      </c>
    </row>
    <row r="147" spans="1:7" x14ac:dyDescent="0.25">
      <c r="A147" s="15">
        <v>4</v>
      </c>
      <c r="B147" s="254" t="s">
        <v>192</v>
      </c>
      <c r="C147" s="254"/>
      <c r="D147" s="254"/>
      <c r="E147" s="254"/>
      <c r="F147" s="254"/>
      <c r="G147" s="254"/>
    </row>
    <row r="148" spans="1:7" x14ac:dyDescent="0.25">
      <c r="A148" s="253" t="s">
        <v>22</v>
      </c>
      <c r="B148" s="253"/>
      <c r="C148" s="253"/>
      <c r="D148" s="16"/>
      <c r="E148" s="106">
        <v>0</v>
      </c>
      <c r="F148" s="106">
        <v>0</v>
      </c>
      <c r="G148" s="18">
        <v>0</v>
      </c>
    </row>
    <row r="149" spans="1:7" x14ac:dyDescent="0.25">
      <c r="A149" s="15">
        <v>5</v>
      </c>
      <c r="B149" s="267" t="s">
        <v>193</v>
      </c>
      <c r="C149" s="268"/>
      <c r="D149" s="268"/>
      <c r="E149" s="268"/>
      <c r="F149" s="268"/>
      <c r="G149" s="269"/>
    </row>
    <row r="150" spans="1:7" x14ac:dyDescent="0.25">
      <c r="A150" s="253" t="s">
        <v>22</v>
      </c>
      <c r="B150" s="253"/>
      <c r="C150" s="253"/>
      <c r="D150" s="16"/>
      <c r="E150" s="106">
        <v>0</v>
      </c>
      <c r="F150" s="106">
        <v>0</v>
      </c>
      <c r="G150" s="18">
        <v>0</v>
      </c>
    </row>
    <row r="151" spans="1:7" x14ac:dyDescent="0.25">
      <c r="A151" s="255" t="s">
        <v>1</v>
      </c>
      <c r="B151" s="255"/>
      <c r="C151" s="255"/>
      <c r="D151" s="255"/>
      <c r="E151" s="39">
        <f>E134+E136+E146+E148+E150</f>
        <v>0</v>
      </c>
      <c r="F151" s="39">
        <f>F134+F136++F148+F150+F146</f>
        <v>847229.31</v>
      </c>
      <c r="G151" s="39">
        <f>G134+G136+G146+G148+G150</f>
        <v>847229.31</v>
      </c>
    </row>
    <row r="152" spans="1:7" x14ac:dyDescent="0.25">
      <c r="A152" s="10" t="s">
        <v>33</v>
      </c>
      <c r="B152" s="10"/>
      <c r="C152" s="11"/>
      <c r="D152" s="12"/>
      <c r="E152" s="108"/>
      <c r="F152" s="108"/>
      <c r="G152" s="108"/>
    </row>
    <row r="154" spans="1:7" x14ac:dyDescent="0.25">
      <c r="A154" s="258" t="s">
        <v>372</v>
      </c>
      <c r="B154" s="258"/>
      <c r="C154" s="258"/>
      <c r="D154" s="258"/>
      <c r="E154" s="258"/>
      <c r="F154" s="258"/>
      <c r="G154" s="258"/>
    </row>
    <row r="155" spans="1:7" ht="38.25" x14ac:dyDescent="0.25">
      <c r="A155" s="13" t="s">
        <v>27</v>
      </c>
      <c r="B155" s="13" t="s">
        <v>28</v>
      </c>
      <c r="C155" s="13" t="s">
        <v>29</v>
      </c>
      <c r="D155" s="13" t="s">
        <v>2</v>
      </c>
      <c r="E155" s="14" t="s">
        <v>357</v>
      </c>
      <c r="F155" s="14" t="s">
        <v>358</v>
      </c>
      <c r="G155" s="14" t="s">
        <v>359</v>
      </c>
    </row>
    <row r="156" spans="1:7" x14ac:dyDescent="0.25">
      <c r="A156" s="15">
        <v>1</v>
      </c>
      <c r="B156" s="254" t="s">
        <v>190</v>
      </c>
      <c r="C156" s="254"/>
      <c r="D156" s="254"/>
      <c r="E156" s="254"/>
      <c r="F156" s="254"/>
      <c r="G156" s="254"/>
    </row>
    <row r="157" spans="1:7" x14ac:dyDescent="0.25">
      <c r="A157" s="253" t="s">
        <v>22</v>
      </c>
      <c r="B157" s="253"/>
      <c r="C157" s="253"/>
      <c r="D157" s="16"/>
      <c r="E157" s="106">
        <v>0</v>
      </c>
      <c r="F157" s="106">
        <v>0</v>
      </c>
      <c r="G157" s="106">
        <v>0</v>
      </c>
    </row>
    <row r="158" spans="1:7" x14ac:dyDescent="0.25">
      <c r="A158" s="15">
        <v>2</v>
      </c>
      <c r="B158" s="254" t="s">
        <v>191</v>
      </c>
      <c r="C158" s="254"/>
      <c r="D158" s="254"/>
      <c r="E158" s="254"/>
      <c r="F158" s="254"/>
      <c r="G158" s="254"/>
    </row>
    <row r="159" spans="1:7" s="1" customFormat="1" x14ac:dyDescent="0.25">
      <c r="A159" s="50" t="s">
        <v>218</v>
      </c>
      <c r="B159" s="52" t="s">
        <v>352</v>
      </c>
      <c r="C159" s="203" t="s">
        <v>349</v>
      </c>
      <c r="D159" s="202"/>
      <c r="E159" s="28">
        <v>0</v>
      </c>
      <c r="F159" s="28">
        <v>197490</v>
      </c>
      <c r="G159" s="30">
        <f t="shared" ref="G159" si="38">SUM(E159:F159)</f>
        <v>197490</v>
      </c>
    </row>
    <row r="160" spans="1:7" x14ac:dyDescent="0.25">
      <c r="A160" s="253" t="s">
        <v>22</v>
      </c>
      <c r="B160" s="253"/>
      <c r="C160" s="253"/>
      <c r="D160" s="16"/>
      <c r="E160" s="106">
        <v>0</v>
      </c>
      <c r="F160" s="106">
        <f>F159</f>
        <v>197490</v>
      </c>
      <c r="G160" s="106">
        <f>G159</f>
        <v>197490</v>
      </c>
    </row>
    <row r="161" spans="1:7" x14ac:dyDescent="0.25">
      <c r="A161" s="15">
        <v>3</v>
      </c>
      <c r="B161" s="254" t="s">
        <v>187</v>
      </c>
      <c r="C161" s="254"/>
      <c r="D161" s="254"/>
      <c r="E161" s="254"/>
      <c r="F161" s="254"/>
      <c r="G161" s="254"/>
    </row>
    <row r="162" spans="1:7" x14ac:dyDescent="0.25">
      <c r="A162" s="202" t="s">
        <v>4</v>
      </c>
      <c r="B162" s="203" t="s">
        <v>74</v>
      </c>
      <c r="C162" s="203" t="s">
        <v>74</v>
      </c>
      <c r="D162" s="202"/>
      <c r="E162" s="28">
        <v>0</v>
      </c>
      <c r="F162" s="28">
        <f>561377.58-205077.9</f>
        <v>356299.67999999993</v>
      </c>
      <c r="G162" s="30">
        <f t="shared" ref="G162" si="39">SUM(E162:F162)</f>
        <v>356299.67999999993</v>
      </c>
    </row>
    <row r="163" spans="1:7" ht="25.5" x14ac:dyDescent="0.25">
      <c r="A163" s="202" t="s">
        <v>5</v>
      </c>
      <c r="B163" s="190" t="s">
        <v>332</v>
      </c>
      <c r="C163" s="203" t="s">
        <v>333</v>
      </c>
      <c r="D163" s="202"/>
      <c r="E163" s="28">
        <v>0</v>
      </c>
      <c r="F163" s="28">
        <f>29953.76+3013.66+29953.76+3013.66</f>
        <v>65934.84</v>
      </c>
      <c r="G163" s="30">
        <f t="shared" ref="G163" si="40">SUM(E163:F163)</f>
        <v>65934.84</v>
      </c>
    </row>
    <row r="164" spans="1:7" x14ac:dyDescent="0.25">
      <c r="A164" s="274" t="s">
        <v>6</v>
      </c>
      <c r="B164" s="272" t="s">
        <v>132</v>
      </c>
      <c r="C164" s="203" t="s">
        <v>361</v>
      </c>
      <c r="D164" s="202"/>
      <c r="E164" s="28">
        <v>0</v>
      </c>
      <c r="F164" s="28">
        <f>11754.18</f>
        <v>11754.18</v>
      </c>
      <c r="G164" s="30">
        <f t="shared" ref="G164" si="41">SUM(E164:F164)</f>
        <v>11754.18</v>
      </c>
    </row>
    <row r="165" spans="1:7" s="1" customFormat="1" x14ac:dyDescent="0.25">
      <c r="A165" s="279"/>
      <c r="B165" s="276"/>
      <c r="C165" s="203" t="s">
        <v>373</v>
      </c>
      <c r="D165" s="202"/>
      <c r="E165" s="28">
        <v>2247.5700000000002</v>
      </c>
      <c r="F165" s="28">
        <v>280.88</v>
      </c>
      <c r="G165" s="30">
        <f t="shared" ref="G165:G166" si="42">SUM(E165:F165)</f>
        <v>2528.4500000000003</v>
      </c>
    </row>
    <row r="166" spans="1:7" s="1" customFormat="1" x14ac:dyDescent="0.25">
      <c r="A166" s="275"/>
      <c r="B166" s="273"/>
      <c r="C166" s="203" t="s">
        <v>374</v>
      </c>
      <c r="D166" s="202"/>
      <c r="E166" s="28">
        <v>0</v>
      </c>
      <c r="F166" s="28">
        <f>10282+10476</f>
        <v>20758</v>
      </c>
      <c r="G166" s="30">
        <f t="shared" si="42"/>
        <v>20758</v>
      </c>
    </row>
    <row r="167" spans="1:7" x14ac:dyDescent="0.25">
      <c r="A167" s="205" t="s">
        <v>18</v>
      </c>
      <c r="B167" s="204" t="s">
        <v>10</v>
      </c>
      <c r="C167" s="203" t="s">
        <v>11</v>
      </c>
      <c r="D167" s="202"/>
      <c r="E167" s="28">
        <v>0</v>
      </c>
      <c r="F167" s="28">
        <f>71812.67</f>
        <v>71812.67</v>
      </c>
      <c r="G167" s="30">
        <f t="shared" ref="G167:G171" si="43">SUM(E167:F167)</f>
        <v>71812.67</v>
      </c>
    </row>
    <row r="168" spans="1:7" ht="25.5" x14ac:dyDescent="0.25">
      <c r="A168" s="205" t="s">
        <v>23</v>
      </c>
      <c r="B168" s="201" t="s">
        <v>112</v>
      </c>
      <c r="C168" s="203" t="s">
        <v>113</v>
      </c>
      <c r="D168" s="202"/>
      <c r="E168" s="28">
        <v>0</v>
      </c>
      <c r="F168" s="28">
        <f>24273.22</f>
        <v>24273.22</v>
      </c>
      <c r="G168" s="30">
        <f t="shared" si="43"/>
        <v>24273.22</v>
      </c>
    </row>
    <row r="169" spans="1:7" x14ac:dyDescent="0.25">
      <c r="A169" s="205" t="s">
        <v>24</v>
      </c>
      <c r="B169" s="33" t="s">
        <v>275</v>
      </c>
      <c r="C169" s="203" t="s">
        <v>317</v>
      </c>
      <c r="D169" s="202"/>
      <c r="E169" s="28">
        <v>0</v>
      </c>
      <c r="F169" s="28">
        <f>4791.36</f>
        <v>4791.3599999999997</v>
      </c>
      <c r="G169" s="30">
        <f t="shared" si="43"/>
        <v>4791.3599999999997</v>
      </c>
    </row>
    <row r="170" spans="1:7" s="1" customFormat="1" x14ac:dyDescent="0.25">
      <c r="A170" s="274" t="s">
        <v>25</v>
      </c>
      <c r="B170" s="272" t="s">
        <v>13</v>
      </c>
      <c r="C170" s="203" t="s">
        <v>324</v>
      </c>
      <c r="D170" s="202"/>
      <c r="E170" s="28">
        <v>0</v>
      </c>
      <c r="F170" s="28">
        <f>906.37+1001.9+1004.23</f>
        <v>2912.5</v>
      </c>
      <c r="G170" s="30">
        <f t="shared" si="43"/>
        <v>2912.5</v>
      </c>
    </row>
    <row r="171" spans="1:7" s="1" customFormat="1" x14ac:dyDescent="0.25">
      <c r="A171" s="275"/>
      <c r="B171" s="273"/>
      <c r="C171" s="203" t="s">
        <v>318</v>
      </c>
      <c r="D171" s="202"/>
      <c r="E171" s="28">
        <v>0</v>
      </c>
      <c r="F171" s="28">
        <f>769.69+85.36+811.59+90.01+723.37+80.23</f>
        <v>2560.25</v>
      </c>
      <c r="G171" s="30">
        <f t="shared" si="43"/>
        <v>2560.25</v>
      </c>
    </row>
    <row r="172" spans="1:7" x14ac:dyDescent="0.25">
      <c r="A172" s="253" t="s">
        <v>22</v>
      </c>
      <c r="B172" s="253"/>
      <c r="C172" s="253"/>
      <c r="D172" s="16"/>
      <c r="E172" s="106">
        <f>SUM(E162:E169)</f>
        <v>2247.5700000000002</v>
      </c>
      <c r="F172" s="106">
        <f>SUM(F162:F171)</f>
        <v>561377.57999999984</v>
      </c>
      <c r="G172" s="106">
        <f>SUM(G162:G171)</f>
        <v>563625.14999999991</v>
      </c>
    </row>
    <row r="173" spans="1:7" x14ac:dyDescent="0.25">
      <c r="A173" s="15">
        <v>4</v>
      </c>
      <c r="B173" s="254" t="s">
        <v>192</v>
      </c>
      <c r="C173" s="254"/>
      <c r="D173" s="254"/>
      <c r="E173" s="254"/>
      <c r="F173" s="254"/>
      <c r="G173" s="254"/>
    </row>
    <row r="174" spans="1:7" x14ac:dyDescent="0.25">
      <c r="A174" s="253" t="s">
        <v>22</v>
      </c>
      <c r="B174" s="253"/>
      <c r="C174" s="253"/>
      <c r="D174" s="16"/>
      <c r="E174" s="106">
        <v>0</v>
      </c>
      <c r="F174" s="106">
        <v>0</v>
      </c>
      <c r="G174" s="18">
        <v>0</v>
      </c>
    </row>
    <row r="175" spans="1:7" x14ac:dyDescent="0.25">
      <c r="A175" s="15">
        <v>5</v>
      </c>
      <c r="B175" s="267" t="s">
        <v>193</v>
      </c>
      <c r="C175" s="268"/>
      <c r="D175" s="268"/>
      <c r="E175" s="268"/>
      <c r="F175" s="268"/>
      <c r="G175" s="269"/>
    </row>
    <row r="176" spans="1:7" x14ac:dyDescent="0.25">
      <c r="A176" s="253" t="s">
        <v>22</v>
      </c>
      <c r="B176" s="253"/>
      <c r="C176" s="253"/>
      <c r="D176" s="16"/>
      <c r="E176" s="106">
        <v>0</v>
      </c>
      <c r="F176" s="106">
        <v>0</v>
      </c>
      <c r="G176" s="18">
        <v>0</v>
      </c>
    </row>
    <row r="177" spans="1:7" x14ac:dyDescent="0.25">
      <c r="A177" s="255" t="s">
        <v>1</v>
      </c>
      <c r="B177" s="255"/>
      <c r="C177" s="255"/>
      <c r="D177" s="255"/>
      <c r="E177" s="39">
        <f>E157+E160+E172+E174+E176</f>
        <v>2247.5700000000002</v>
      </c>
      <c r="F177" s="39">
        <f>F157+F160++F174+F176+F172</f>
        <v>758867.57999999984</v>
      </c>
      <c r="G177" s="39">
        <f>G157+G160+G172+G174+G176</f>
        <v>761115.14999999991</v>
      </c>
    </row>
    <row r="178" spans="1:7" x14ac:dyDescent="0.25">
      <c r="A178" s="10" t="s">
        <v>33</v>
      </c>
      <c r="B178" s="10"/>
      <c r="C178" s="11"/>
      <c r="D178" s="12"/>
      <c r="E178" s="108"/>
      <c r="F178" s="108"/>
      <c r="G178" s="108"/>
    </row>
    <row r="180" spans="1:7" x14ac:dyDescent="0.25">
      <c r="A180" s="258" t="s">
        <v>377</v>
      </c>
      <c r="B180" s="258"/>
      <c r="C180" s="258"/>
      <c r="D180" s="258"/>
      <c r="E180" s="258"/>
      <c r="F180" s="258"/>
      <c r="G180" s="258"/>
    </row>
    <row r="181" spans="1:7" ht="38.25" x14ac:dyDescent="0.25">
      <c r="A181" s="13" t="s">
        <v>27</v>
      </c>
      <c r="B181" s="13" t="s">
        <v>28</v>
      </c>
      <c r="C181" s="13" t="s">
        <v>29</v>
      </c>
      <c r="D181" s="13" t="s">
        <v>2</v>
      </c>
      <c r="E181" s="14" t="s">
        <v>357</v>
      </c>
      <c r="F181" s="14" t="s">
        <v>358</v>
      </c>
      <c r="G181" s="14" t="s">
        <v>359</v>
      </c>
    </row>
    <row r="182" spans="1:7" x14ac:dyDescent="0.25">
      <c r="A182" s="15">
        <v>1</v>
      </c>
      <c r="B182" s="254" t="s">
        <v>190</v>
      </c>
      <c r="C182" s="254"/>
      <c r="D182" s="254"/>
      <c r="E182" s="254"/>
      <c r="F182" s="254"/>
      <c r="G182" s="254"/>
    </row>
    <row r="183" spans="1:7" x14ac:dyDescent="0.25">
      <c r="A183" s="253" t="s">
        <v>22</v>
      </c>
      <c r="B183" s="253"/>
      <c r="C183" s="253"/>
      <c r="D183" s="16"/>
      <c r="E183" s="106">
        <v>0</v>
      </c>
      <c r="F183" s="106">
        <v>0</v>
      </c>
      <c r="G183" s="106">
        <v>0</v>
      </c>
    </row>
    <row r="184" spans="1:7" x14ac:dyDescent="0.25">
      <c r="A184" s="15">
        <v>2</v>
      </c>
      <c r="B184" s="254" t="s">
        <v>191</v>
      </c>
      <c r="C184" s="254"/>
      <c r="D184" s="254"/>
      <c r="E184" s="254"/>
      <c r="F184" s="254"/>
      <c r="G184" s="254"/>
    </row>
    <row r="185" spans="1:7" x14ac:dyDescent="0.25">
      <c r="A185" s="50" t="s">
        <v>218</v>
      </c>
      <c r="B185" s="52" t="s">
        <v>352</v>
      </c>
      <c r="C185" s="209" t="s">
        <v>349</v>
      </c>
      <c r="D185" s="208"/>
      <c r="E185" s="28">
        <v>0</v>
      </c>
      <c r="F185" s="28">
        <f>281934+236988</f>
        <v>518922</v>
      </c>
      <c r="G185" s="30">
        <f t="shared" ref="G185" si="44">SUM(E185:F185)</f>
        <v>518922</v>
      </c>
    </row>
    <row r="186" spans="1:7" s="1" customFormat="1" x14ac:dyDescent="0.25">
      <c r="A186" s="50" t="s">
        <v>221</v>
      </c>
      <c r="B186" s="52" t="s">
        <v>378</v>
      </c>
      <c r="C186" s="209" t="s">
        <v>379</v>
      </c>
      <c r="D186" s="208"/>
      <c r="E186" s="28">
        <v>0</v>
      </c>
      <c r="F186" s="28">
        <f>39405.2+16104.08+20718.72</f>
        <v>76228</v>
      </c>
      <c r="G186" s="30">
        <f t="shared" ref="G186" si="45">SUM(E186:F186)</f>
        <v>76228</v>
      </c>
    </row>
    <row r="187" spans="1:7" x14ac:dyDescent="0.25">
      <c r="A187" s="253" t="s">
        <v>22</v>
      </c>
      <c r="B187" s="253"/>
      <c r="C187" s="253"/>
      <c r="D187" s="16"/>
      <c r="E187" s="106">
        <v>0</v>
      </c>
      <c r="F187" s="106">
        <f>F185+F186</f>
        <v>595150</v>
      </c>
      <c r="G187" s="106">
        <f>G185+G186</f>
        <v>595150</v>
      </c>
    </row>
    <row r="188" spans="1:7" x14ac:dyDescent="0.25">
      <c r="A188" s="15">
        <v>3</v>
      </c>
      <c r="B188" s="254" t="s">
        <v>187</v>
      </c>
      <c r="C188" s="254"/>
      <c r="D188" s="254"/>
      <c r="E188" s="254"/>
      <c r="F188" s="254"/>
      <c r="G188" s="254"/>
    </row>
    <row r="189" spans="1:7" x14ac:dyDescent="0.25">
      <c r="A189" s="208" t="s">
        <v>4</v>
      </c>
      <c r="B189" s="209" t="s">
        <v>74</v>
      </c>
      <c r="C189" s="209" t="s">
        <v>74</v>
      </c>
      <c r="D189" s="208"/>
      <c r="E189" s="28">
        <v>0</v>
      </c>
      <c r="F189" s="28">
        <f>590441.21-234339.28</f>
        <v>356101.92999999993</v>
      </c>
      <c r="G189" s="30">
        <f t="shared" ref="G189" si="46">SUM(E189:F189)</f>
        <v>356101.92999999993</v>
      </c>
    </row>
    <row r="190" spans="1:7" x14ac:dyDescent="0.25">
      <c r="A190" s="274" t="s">
        <v>5</v>
      </c>
      <c r="B190" s="272" t="s">
        <v>132</v>
      </c>
      <c r="C190" s="209" t="s">
        <v>361</v>
      </c>
      <c r="D190" s="208"/>
      <c r="E190" s="28">
        <v>0</v>
      </c>
      <c r="F190" s="28">
        <f>13793.33+10075.12</f>
        <v>23868.45</v>
      </c>
      <c r="G190" s="30">
        <f t="shared" ref="G190:G195" si="47">SUM(E190:F190)</f>
        <v>23868.45</v>
      </c>
    </row>
    <row r="191" spans="1:7" x14ac:dyDescent="0.25">
      <c r="A191" s="279"/>
      <c r="B191" s="276"/>
      <c r="C191" s="209" t="s">
        <v>373</v>
      </c>
      <c r="D191" s="208"/>
      <c r="E191" s="28">
        <v>0</v>
      </c>
      <c r="F191" s="28">
        <f>1864.65+6957.8+1864.65+6957.8+2864.65+6957.8+1864.65+6262.03+5334.31+1056.63+5658.95</f>
        <v>47643.92</v>
      </c>
      <c r="G191" s="30">
        <f t="shared" si="47"/>
        <v>47643.92</v>
      </c>
    </row>
    <row r="192" spans="1:7" x14ac:dyDescent="0.25">
      <c r="A192" s="275"/>
      <c r="B192" s="273"/>
      <c r="C192" s="209" t="s">
        <v>374</v>
      </c>
      <c r="D192" s="208"/>
      <c r="E192" s="28">
        <v>0</v>
      </c>
      <c r="F192" s="28">
        <f>11089.3+1098.86+1021.92</f>
        <v>13210.08</v>
      </c>
      <c r="G192" s="30">
        <f t="shared" si="47"/>
        <v>13210.08</v>
      </c>
    </row>
    <row r="193" spans="1:7" x14ac:dyDescent="0.25">
      <c r="A193" s="211" t="s">
        <v>6</v>
      </c>
      <c r="B193" s="210" t="s">
        <v>10</v>
      </c>
      <c r="C193" s="209" t="s">
        <v>11</v>
      </c>
      <c r="D193" s="208"/>
      <c r="E193" s="28">
        <v>0</v>
      </c>
      <c r="F193" s="28">
        <f>62211.68</f>
        <v>62211.68</v>
      </c>
      <c r="G193" s="30">
        <f t="shared" si="47"/>
        <v>62211.68</v>
      </c>
    </row>
    <row r="194" spans="1:7" ht="25.5" x14ac:dyDescent="0.25">
      <c r="A194" s="211" t="s">
        <v>18</v>
      </c>
      <c r="B194" s="201" t="s">
        <v>112</v>
      </c>
      <c r="C194" s="209" t="s">
        <v>113</v>
      </c>
      <c r="D194" s="208"/>
      <c r="E194" s="28">
        <v>0</v>
      </c>
      <c r="F194" s="28">
        <f>24273.22+24273.22</f>
        <v>48546.44</v>
      </c>
      <c r="G194" s="30">
        <f t="shared" si="47"/>
        <v>48546.44</v>
      </c>
    </row>
    <row r="195" spans="1:7" x14ac:dyDescent="0.25">
      <c r="A195" s="211" t="s">
        <v>23</v>
      </c>
      <c r="B195" s="33" t="s">
        <v>275</v>
      </c>
      <c r="C195" s="209" t="s">
        <v>317</v>
      </c>
      <c r="D195" s="208"/>
      <c r="E195" s="28">
        <v>0</v>
      </c>
      <c r="F195" s="28">
        <f>7882.56</f>
        <v>7882.56</v>
      </c>
      <c r="G195" s="30">
        <f t="shared" si="47"/>
        <v>7882.56</v>
      </c>
    </row>
    <row r="196" spans="1:7" s="1" customFormat="1" x14ac:dyDescent="0.25">
      <c r="A196" s="211" t="s">
        <v>24</v>
      </c>
      <c r="B196" s="209" t="s">
        <v>7</v>
      </c>
      <c r="C196" s="209" t="s">
        <v>354</v>
      </c>
      <c r="D196" s="208"/>
      <c r="E196" s="28">
        <v>0</v>
      </c>
      <c r="F196" s="28">
        <f>11070+11070+1188.72+422.66+7224.77</f>
        <v>30976.15</v>
      </c>
      <c r="G196" s="30">
        <f t="shared" ref="G196" si="48">SUM(E196:F196)</f>
        <v>30976.15</v>
      </c>
    </row>
    <row r="197" spans="1:7" x14ac:dyDescent="0.25">
      <c r="A197" s="253" t="s">
        <v>22</v>
      </c>
      <c r="B197" s="253"/>
      <c r="C197" s="253"/>
      <c r="D197" s="16"/>
      <c r="E197" s="106">
        <f>SUM(E189:E196)</f>
        <v>0</v>
      </c>
      <c r="F197" s="106">
        <f>SUM(F189:F196)</f>
        <v>590441.21000000008</v>
      </c>
      <c r="G197" s="106">
        <f>SUM(G189:G196)</f>
        <v>590441.21000000008</v>
      </c>
    </row>
    <row r="198" spans="1:7" x14ac:dyDescent="0.25">
      <c r="A198" s="15">
        <v>4</v>
      </c>
      <c r="B198" s="254" t="s">
        <v>192</v>
      </c>
      <c r="C198" s="254"/>
      <c r="D198" s="254"/>
      <c r="E198" s="254"/>
      <c r="F198" s="254"/>
      <c r="G198" s="254"/>
    </row>
    <row r="199" spans="1:7" x14ac:dyDescent="0.25">
      <c r="A199" s="253" t="s">
        <v>22</v>
      </c>
      <c r="B199" s="253"/>
      <c r="C199" s="253"/>
      <c r="D199" s="16"/>
      <c r="E199" s="106">
        <v>0</v>
      </c>
      <c r="F199" s="106">
        <v>0</v>
      </c>
      <c r="G199" s="18">
        <v>0</v>
      </c>
    </row>
    <row r="200" spans="1:7" x14ac:dyDescent="0.25">
      <c r="A200" s="15">
        <v>5</v>
      </c>
      <c r="B200" s="267" t="s">
        <v>193</v>
      </c>
      <c r="C200" s="268"/>
      <c r="D200" s="268"/>
      <c r="E200" s="268"/>
      <c r="F200" s="268"/>
      <c r="G200" s="269"/>
    </row>
    <row r="201" spans="1:7" x14ac:dyDescent="0.25">
      <c r="A201" s="253" t="s">
        <v>22</v>
      </c>
      <c r="B201" s="253"/>
      <c r="C201" s="253"/>
      <c r="D201" s="16"/>
      <c r="E201" s="106">
        <v>0</v>
      </c>
      <c r="F201" s="106">
        <v>0</v>
      </c>
      <c r="G201" s="18">
        <v>0</v>
      </c>
    </row>
    <row r="202" spans="1:7" x14ac:dyDescent="0.25">
      <c r="A202" s="255" t="s">
        <v>1</v>
      </c>
      <c r="B202" s="255"/>
      <c r="C202" s="255"/>
      <c r="D202" s="255"/>
      <c r="E202" s="39">
        <f>E183+E187+E197+E199+E201</f>
        <v>0</v>
      </c>
      <c r="F202" s="39">
        <f>F183+F187++F199+F201+F197</f>
        <v>1185591.21</v>
      </c>
      <c r="G202" s="39">
        <f>G183+G187+G197+G199+G201</f>
        <v>1185591.21</v>
      </c>
    </row>
    <row r="203" spans="1:7" x14ac:dyDescent="0.25">
      <c r="A203" s="10" t="s">
        <v>33</v>
      </c>
      <c r="B203" s="10"/>
      <c r="C203" s="11"/>
      <c r="D203" s="12"/>
      <c r="E203" s="108"/>
      <c r="F203" s="108"/>
      <c r="G203" s="108"/>
    </row>
    <row r="205" spans="1:7" x14ac:dyDescent="0.25">
      <c r="A205" s="258" t="s">
        <v>380</v>
      </c>
      <c r="B205" s="258"/>
      <c r="C205" s="258"/>
      <c r="D205" s="258"/>
      <c r="E205" s="258"/>
      <c r="F205" s="258"/>
      <c r="G205" s="258"/>
    </row>
    <row r="206" spans="1:7" ht="38.25" x14ac:dyDescent="0.25">
      <c r="A206" s="13" t="s">
        <v>27</v>
      </c>
      <c r="B206" s="13" t="s">
        <v>28</v>
      </c>
      <c r="C206" s="13" t="s">
        <v>29</v>
      </c>
      <c r="D206" s="13" t="s">
        <v>2</v>
      </c>
      <c r="E206" s="14" t="s">
        <v>357</v>
      </c>
      <c r="F206" s="14" t="s">
        <v>358</v>
      </c>
      <c r="G206" s="14" t="s">
        <v>359</v>
      </c>
    </row>
    <row r="207" spans="1:7" x14ac:dyDescent="0.25">
      <c r="A207" s="15">
        <v>1</v>
      </c>
      <c r="B207" s="254" t="s">
        <v>190</v>
      </c>
      <c r="C207" s="254"/>
      <c r="D207" s="254"/>
      <c r="E207" s="254"/>
      <c r="F207" s="254"/>
      <c r="G207" s="254"/>
    </row>
    <row r="208" spans="1:7" x14ac:dyDescent="0.25">
      <c r="A208" s="253" t="s">
        <v>22</v>
      </c>
      <c r="B208" s="253"/>
      <c r="C208" s="253"/>
      <c r="D208" s="16"/>
      <c r="E208" s="106">
        <v>0</v>
      </c>
      <c r="F208" s="106">
        <v>0</v>
      </c>
      <c r="G208" s="106">
        <v>0</v>
      </c>
    </row>
    <row r="209" spans="1:7" x14ac:dyDescent="0.25">
      <c r="A209" s="15">
        <v>2</v>
      </c>
      <c r="B209" s="254" t="s">
        <v>191</v>
      </c>
      <c r="C209" s="254"/>
      <c r="D209" s="254"/>
      <c r="E209" s="254"/>
      <c r="F209" s="254"/>
      <c r="G209" s="254"/>
    </row>
    <row r="210" spans="1:7" x14ac:dyDescent="0.25">
      <c r="A210" s="50" t="s">
        <v>218</v>
      </c>
      <c r="B210" s="52" t="s">
        <v>352</v>
      </c>
      <c r="C210" s="213" t="s">
        <v>349</v>
      </c>
      <c r="D210" s="212"/>
      <c r="E210" s="28">
        <v>0</v>
      </c>
      <c r="F210" s="28">
        <f>248656+258780</f>
        <v>507436</v>
      </c>
      <c r="G210" s="30">
        <f t="shared" ref="G210" si="49">SUM(E210:F210)</f>
        <v>507436</v>
      </c>
    </row>
    <row r="211" spans="1:7" ht="25.5" x14ac:dyDescent="0.25">
      <c r="A211" s="50" t="s">
        <v>221</v>
      </c>
      <c r="B211" s="220" t="s">
        <v>383</v>
      </c>
      <c r="C211" s="213" t="s">
        <v>382</v>
      </c>
      <c r="D211" s="212"/>
      <c r="E211" s="28">
        <v>0</v>
      </c>
      <c r="F211" s="28">
        <f>11958.56+9644</f>
        <v>21602.559999999998</v>
      </c>
      <c r="G211" s="30">
        <f t="shared" ref="G211" si="50">SUM(E211:F211)</f>
        <v>21602.559999999998</v>
      </c>
    </row>
    <row r="212" spans="1:7" x14ac:dyDescent="0.25">
      <c r="A212" s="253" t="s">
        <v>22</v>
      </c>
      <c r="B212" s="253"/>
      <c r="C212" s="253"/>
      <c r="D212" s="16"/>
      <c r="E212" s="106">
        <v>0</v>
      </c>
      <c r="F212" s="106">
        <f>F210+F211</f>
        <v>529038.56000000006</v>
      </c>
      <c r="G212" s="106">
        <f>G210+G211</f>
        <v>529038.56000000006</v>
      </c>
    </row>
    <row r="213" spans="1:7" x14ac:dyDescent="0.25">
      <c r="A213" s="15">
        <v>3</v>
      </c>
      <c r="B213" s="254" t="s">
        <v>187</v>
      </c>
      <c r="C213" s="254"/>
      <c r="D213" s="254"/>
      <c r="E213" s="254"/>
      <c r="F213" s="254"/>
      <c r="G213" s="254"/>
    </row>
    <row r="214" spans="1:7" x14ac:dyDescent="0.25">
      <c r="A214" s="212" t="s">
        <v>4</v>
      </c>
      <c r="B214" s="213" t="s">
        <v>74</v>
      </c>
      <c r="C214" s="213" t="s">
        <v>74</v>
      </c>
      <c r="D214" s="212"/>
      <c r="E214" s="28">
        <v>0</v>
      </c>
      <c r="F214" s="28">
        <f>538208.08-161573.33</f>
        <v>376634.75</v>
      </c>
      <c r="G214" s="30">
        <f t="shared" ref="G214" si="51">SUM(E214:F214)</f>
        <v>376634.75</v>
      </c>
    </row>
    <row r="215" spans="1:7" x14ac:dyDescent="0.25">
      <c r="A215" s="215" t="s">
        <v>381</v>
      </c>
      <c r="B215" s="214" t="s">
        <v>132</v>
      </c>
      <c r="C215" s="213" t="s">
        <v>374</v>
      </c>
      <c r="D215" s="212"/>
      <c r="E215" s="28">
        <v>0</v>
      </c>
      <c r="F215" s="28">
        <f>12611.56+185.8+12082.71+181.42</f>
        <v>25061.489999999998</v>
      </c>
      <c r="G215" s="30">
        <f t="shared" ref="G215:G217" si="52">SUM(E215:F215)</f>
        <v>25061.489999999998</v>
      </c>
    </row>
    <row r="216" spans="1:7" x14ac:dyDescent="0.25">
      <c r="A216" s="215" t="s">
        <v>6</v>
      </c>
      <c r="B216" s="214" t="s">
        <v>10</v>
      </c>
      <c r="C216" s="213" t="s">
        <v>11</v>
      </c>
      <c r="D216" s="212"/>
      <c r="E216" s="28">
        <v>0</v>
      </c>
      <c r="F216" s="28">
        <f>84837.35</f>
        <v>84837.35</v>
      </c>
      <c r="G216" s="30">
        <f t="shared" si="52"/>
        <v>84837.35</v>
      </c>
    </row>
    <row r="217" spans="1:7" x14ac:dyDescent="0.25">
      <c r="A217" s="215" t="s">
        <v>18</v>
      </c>
      <c r="B217" s="33" t="s">
        <v>275</v>
      </c>
      <c r="C217" s="213" t="s">
        <v>317</v>
      </c>
      <c r="D217" s="212"/>
      <c r="E217" s="28">
        <v>0</v>
      </c>
      <c r="F217" s="28">
        <f>9582.72+6027.84</f>
        <v>15610.56</v>
      </c>
      <c r="G217" s="30">
        <f t="shared" si="52"/>
        <v>15610.56</v>
      </c>
    </row>
    <row r="218" spans="1:7" s="1" customFormat="1" x14ac:dyDescent="0.25">
      <c r="A218" s="274" t="s">
        <v>23</v>
      </c>
      <c r="B218" s="272" t="s">
        <v>13</v>
      </c>
      <c r="C218" s="213" t="s">
        <v>324</v>
      </c>
      <c r="D218" s="212"/>
      <c r="E218" s="28">
        <v>0</v>
      </c>
      <c r="F218" s="28">
        <f>855.11+1004.23</f>
        <v>1859.3400000000001</v>
      </c>
      <c r="G218" s="30">
        <f t="shared" ref="G218:G219" si="53">SUM(E218:F218)</f>
        <v>1859.3400000000001</v>
      </c>
    </row>
    <row r="219" spans="1:7" s="1" customFormat="1" x14ac:dyDescent="0.25">
      <c r="A219" s="275"/>
      <c r="B219" s="273"/>
      <c r="C219" s="213" t="s">
        <v>318</v>
      </c>
      <c r="D219" s="212"/>
      <c r="E219" s="28">
        <v>0</v>
      </c>
      <c r="F219" s="28">
        <f>557.97+61.8+555.76+61.64</f>
        <v>1237.17</v>
      </c>
      <c r="G219" s="30">
        <f t="shared" si="53"/>
        <v>1237.17</v>
      </c>
    </row>
    <row r="220" spans="1:7" s="1" customFormat="1" ht="25.5" x14ac:dyDescent="0.25">
      <c r="A220" s="212" t="s">
        <v>24</v>
      </c>
      <c r="B220" s="190" t="s">
        <v>332</v>
      </c>
      <c r="C220" s="213" t="s">
        <v>333</v>
      </c>
      <c r="D220" s="212"/>
      <c r="E220" s="28">
        <v>0</v>
      </c>
      <c r="F220" s="28">
        <f>6989.21+703.19+25275.02</f>
        <v>32967.42</v>
      </c>
      <c r="G220" s="30">
        <f t="shared" ref="G220" si="54">SUM(E220:F220)</f>
        <v>32967.42</v>
      </c>
    </row>
    <row r="221" spans="1:7" x14ac:dyDescent="0.25">
      <c r="A221" s="253" t="s">
        <v>22</v>
      </c>
      <c r="B221" s="253"/>
      <c r="C221" s="253"/>
      <c r="D221" s="16"/>
      <c r="E221" s="106">
        <f>SUM(E214:E220)</f>
        <v>0</v>
      </c>
      <c r="F221" s="106">
        <f>SUM(F214:F220)</f>
        <v>538208.07999999996</v>
      </c>
      <c r="G221" s="106">
        <f>SUM(G214:G220)</f>
        <v>538208.07999999996</v>
      </c>
    </row>
    <row r="222" spans="1:7" x14ac:dyDescent="0.25">
      <c r="A222" s="15">
        <v>4</v>
      </c>
      <c r="B222" s="254" t="s">
        <v>192</v>
      </c>
      <c r="C222" s="254"/>
      <c r="D222" s="254"/>
      <c r="E222" s="254"/>
      <c r="F222" s="254"/>
      <c r="G222" s="254"/>
    </row>
    <row r="223" spans="1:7" x14ac:dyDescent="0.25">
      <c r="A223" s="253" t="s">
        <v>22</v>
      </c>
      <c r="B223" s="253"/>
      <c r="C223" s="253"/>
      <c r="D223" s="16"/>
      <c r="E223" s="106">
        <v>0</v>
      </c>
      <c r="F223" s="106">
        <v>0</v>
      </c>
      <c r="G223" s="18">
        <v>0</v>
      </c>
    </row>
    <row r="224" spans="1:7" x14ac:dyDescent="0.25">
      <c r="A224" s="15">
        <v>5</v>
      </c>
      <c r="B224" s="267" t="s">
        <v>193</v>
      </c>
      <c r="C224" s="268"/>
      <c r="D224" s="268"/>
      <c r="E224" s="268"/>
      <c r="F224" s="268"/>
      <c r="G224" s="269"/>
    </row>
    <row r="225" spans="1:7" x14ac:dyDescent="0.25">
      <c r="A225" s="253" t="s">
        <v>22</v>
      </c>
      <c r="B225" s="253"/>
      <c r="C225" s="253"/>
      <c r="D225" s="16"/>
      <c r="E225" s="106">
        <v>0</v>
      </c>
      <c r="F225" s="106">
        <v>0</v>
      </c>
      <c r="G225" s="18">
        <v>0</v>
      </c>
    </row>
    <row r="226" spans="1:7" x14ac:dyDescent="0.25">
      <c r="A226" s="255" t="s">
        <v>1</v>
      </c>
      <c r="B226" s="255"/>
      <c r="C226" s="255"/>
      <c r="D226" s="255"/>
      <c r="E226" s="39">
        <f>E208+E212+E221+E223+E225</f>
        <v>0</v>
      </c>
      <c r="F226" s="39">
        <f>F208+F212++F223+F225+F221</f>
        <v>1067246.6400000001</v>
      </c>
      <c r="G226" s="39">
        <f>G208+G212+G221+G223+G225</f>
        <v>1067246.6400000001</v>
      </c>
    </row>
    <row r="227" spans="1:7" x14ac:dyDescent="0.25">
      <c r="A227" s="10" t="s">
        <v>33</v>
      </c>
      <c r="B227" s="10"/>
      <c r="C227" s="11"/>
      <c r="D227" s="12"/>
      <c r="E227" s="108"/>
      <c r="F227" s="108"/>
      <c r="G227" s="108"/>
    </row>
    <row r="229" spans="1:7" x14ac:dyDescent="0.25">
      <c r="A229" s="258" t="s">
        <v>384</v>
      </c>
      <c r="B229" s="258"/>
      <c r="C229" s="258"/>
      <c r="D229" s="258"/>
      <c r="E229" s="258"/>
      <c r="F229" s="258"/>
      <c r="G229" s="258"/>
    </row>
    <row r="230" spans="1:7" ht="38.25" x14ac:dyDescent="0.25">
      <c r="A230" s="13" t="s">
        <v>27</v>
      </c>
      <c r="B230" s="13" t="s">
        <v>28</v>
      </c>
      <c r="C230" s="13" t="s">
        <v>29</v>
      </c>
      <c r="D230" s="13" t="s">
        <v>2</v>
      </c>
      <c r="E230" s="14" t="s">
        <v>357</v>
      </c>
      <c r="F230" s="14" t="s">
        <v>358</v>
      </c>
      <c r="G230" s="14" t="s">
        <v>359</v>
      </c>
    </row>
    <row r="231" spans="1:7" x14ac:dyDescent="0.25">
      <c r="A231" s="15">
        <v>1</v>
      </c>
      <c r="B231" s="254" t="s">
        <v>190</v>
      </c>
      <c r="C231" s="254"/>
      <c r="D231" s="254"/>
      <c r="E231" s="254"/>
      <c r="F231" s="254"/>
      <c r="G231" s="254"/>
    </row>
    <row r="232" spans="1:7" x14ac:dyDescent="0.25">
      <c r="A232" s="253" t="s">
        <v>22</v>
      </c>
      <c r="B232" s="253"/>
      <c r="C232" s="253"/>
      <c r="D232" s="16"/>
      <c r="E232" s="106">
        <v>0</v>
      </c>
      <c r="F232" s="106">
        <v>0</v>
      </c>
      <c r="G232" s="106">
        <v>0</v>
      </c>
    </row>
    <row r="233" spans="1:7" x14ac:dyDescent="0.25">
      <c r="A233" s="15">
        <v>2</v>
      </c>
      <c r="B233" s="254" t="s">
        <v>191</v>
      </c>
      <c r="C233" s="254"/>
      <c r="D233" s="254"/>
      <c r="E233" s="254"/>
      <c r="F233" s="254"/>
      <c r="G233" s="254"/>
    </row>
    <row r="234" spans="1:7" x14ac:dyDescent="0.25">
      <c r="A234" s="50" t="s">
        <v>218</v>
      </c>
      <c r="B234" s="52" t="s">
        <v>352</v>
      </c>
      <c r="C234" s="217" t="s">
        <v>349</v>
      </c>
      <c r="D234" s="216"/>
      <c r="E234" s="28">
        <v>0</v>
      </c>
      <c r="F234" s="28">
        <f>122580</f>
        <v>122580</v>
      </c>
      <c r="G234" s="30">
        <f t="shared" ref="G234" si="55">SUM(E234:F234)</f>
        <v>122580</v>
      </c>
    </row>
    <row r="235" spans="1:7" x14ac:dyDescent="0.25">
      <c r="A235" s="50" t="s">
        <v>221</v>
      </c>
      <c r="B235" s="52" t="s">
        <v>378</v>
      </c>
      <c r="C235" s="217" t="s">
        <v>379</v>
      </c>
      <c r="D235" s="216"/>
      <c r="E235" s="28">
        <v>0</v>
      </c>
      <c r="F235" s="28">
        <v>137970</v>
      </c>
      <c r="G235" s="30">
        <f t="shared" ref="G235" si="56">SUM(E235:F235)</f>
        <v>137970</v>
      </c>
    </row>
    <row r="236" spans="1:7" x14ac:dyDescent="0.25">
      <c r="A236" s="253" t="s">
        <v>22</v>
      </c>
      <c r="B236" s="253"/>
      <c r="C236" s="253"/>
      <c r="D236" s="16"/>
      <c r="E236" s="106">
        <v>0</v>
      </c>
      <c r="F236" s="106">
        <f>F234+F235</f>
        <v>260550</v>
      </c>
      <c r="G236" s="106">
        <f>G234+G235</f>
        <v>260550</v>
      </c>
    </row>
    <row r="237" spans="1:7" x14ac:dyDescent="0.25">
      <c r="A237" s="15">
        <v>3</v>
      </c>
      <c r="B237" s="254" t="s">
        <v>187</v>
      </c>
      <c r="C237" s="254"/>
      <c r="D237" s="254"/>
      <c r="E237" s="254"/>
      <c r="F237" s="254"/>
      <c r="G237" s="254"/>
    </row>
    <row r="238" spans="1:7" x14ac:dyDescent="0.25">
      <c r="A238" s="216" t="s">
        <v>4</v>
      </c>
      <c r="B238" s="217" t="s">
        <v>74</v>
      </c>
      <c r="C238" s="217" t="s">
        <v>74</v>
      </c>
      <c r="D238" s="216"/>
      <c r="E238" s="28">
        <v>0</v>
      </c>
      <c r="F238" s="28">
        <f>918069.26-176282.86</f>
        <v>741786.4</v>
      </c>
      <c r="G238" s="30">
        <f>SUM(E238:F238)</f>
        <v>741786.4</v>
      </c>
    </row>
    <row r="239" spans="1:7" x14ac:dyDescent="0.25">
      <c r="A239" s="219" t="s">
        <v>381</v>
      </c>
      <c r="B239" s="218" t="s">
        <v>132</v>
      </c>
      <c r="C239" s="217" t="s">
        <v>374</v>
      </c>
      <c r="D239" s="216"/>
      <c r="E239" s="28">
        <v>0</v>
      </c>
      <c r="F239" s="28">
        <v>1486.7</v>
      </c>
      <c r="G239" s="30">
        <f t="shared" ref="G239:G241" si="57">SUM(E239:F239)</f>
        <v>1486.7</v>
      </c>
    </row>
    <row r="240" spans="1:7" x14ac:dyDescent="0.25">
      <c r="A240" s="219" t="s">
        <v>6</v>
      </c>
      <c r="B240" s="218" t="s">
        <v>10</v>
      </c>
      <c r="C240" s="217" t="s">
        <v>11</v>
      </c>
      <c r="D240" s="216"/>
      <c r="E240" s="28">
        <v>0</v>
      </c>
      <c r="F240" s="28">
        <f>79403.42</f>
        <v>79403.42</v>
      </c>
      <c r="G240" s="30">
        <f t="shared" si="57"/>
        <v>79403.42</v>
      </c>
    </row>
    <row r="241" spans="1:7" x14ac:dyDescent="0.25">
      <c r="A241" s="219" t="s">
        <v>18</v>
      </c>
      <c r="B241" s="33" t="s">
        <v>275</v>
      </c>
      <c r="C241" s="217" t="s">
        <v>317</v>
      </c>
      <c r="D241" s="216"/>
      <c r="E241" s="28">
        <v>0</v>
      </c>
      <c r="F241" s="28">
        <v>0</v>
      </c>
      <c r="G241" s="30">
        <f t="shared" si="57"/>
        <v>0</v>
      </c>
    </row>
    <row r="242" spans="1:7" x14ac:dyDescent="0.25">
      <c r="A242" s="274" t="s">
        <v>23</v>
      </c>
      <c r="B242" s="272" t="s">
        <v>13</v>
      </c>
      <c r="C242" s="217" t="s">
        <v>324</v>
      </c>
      <c r="D242" s="216"/>
      <c r="E242" s="28">
        <v>0</v>
      </c>
      <c r="F242" s="28">
        <f>890.06</f>
        <v>890.06</v>
      </c>
      <c r="G242" s="30">
        <f t="shared" ref="G242:G243" si="58">SUM(E242:F242)</f>
        <v>890.06</v>
      </c>
    </row>
    <row r="243" spans="1:7" x14ac:dyDescent="0.25">
      <c r="A243" s="275"/>
      <c r="B243" s="273"/>
      <c r="C243" s="217" t="s">
        <v>318</v>
      </c>
      <c r="D243" s="216"/>
      <c r="E243" s="28">
        <v>0</v>
      </c>
      <c r="F243" s="28">
        <f>657.21+72.89</f>
        <v>730.1</v>
      </c>
      <c r="G243" s="30">
        <f t="shared" si="58"/>
        <v>730.1</v>
      </c>
    </row>
    <row r="244" spans="1:7" ht="25.5" x14ac:dyDescent="0.25">
      <c r="A244" s="216" t="s">
        <v>24</v>
      </c>
      <c r="B244" s="190" t="s">
        <v>332</v>
      </c>
      <c r="C244" s="217" t="s">
        <v>333</v>
      </c>
      <c r="D244" s="216"/>
      <c r="E244" s="28">
        <v>0</v>
      </c>
      <c r="F244" s="28">
        <f>32967.42</f>
        <v>32967.42</v>
      </c>
      <c r="G244" s="30">
        <f t="shared" ref="G244" si="59">SUM(E244:F244)</f>
        <v>32967.42</v>
      </c>
    </row>
    <row r="245" spans="1:7" s="1" customFormat="1" ht="25.5" x14ac:dyDescent="0.25">
      <c r="A245" s="219" t="s">
        <v>25</v>
      </c>
      <c r="B245" s="201" t="s">
        <v>112</v>
      </c>
      <c r="C245" s="217" t="s">
        <v>113</v>
      </c>
      <c r="D245" s="216"/>
      <c r="E245" s="28">
        <v>0</v>
      </c>
      <c r="F245" s="28">
        <f>24273.22+24273.22</f>
        <v>48546.44</v>
      </c>
      <c r="G245" s="30">
        <f t="shared" ref="G245" si="60">SUM(E245:F245)</f>
        <v>48546.44</v>
      </c>
    </row>
    <row r="246" spans="1:7" s="1" customFormat="1" x14ac:dyDescent="0.25">
      <c r="A246" s="219" t="s">
        <v>41</v>
      </c>
      <c r="B246" s="217" t="s">
        <v>7</v>
      </c>
      <c r="C246" s="217" t="s">
        <v>354</v>
      </c>
      <c r="D246" s="216"/>
      <c r="E246" s="28">
        <v>0</v>
      </c>
      <c r="F246" s="28">
        <f>11070+1188.72</f>
        <v>12258.72</v>
      </c>
      <c r="G246" s="30">
        <f t="shared" ref="G246" si="61">SUM(E246:F246)</f>
        <v>12258.72</v>
      </c>
    </row>
    <row r="247" spans="1:7" x14ac:dyDescent="0.25">
      <c r="A247" s="253" t="s">
        <v>22</v>
      </c>
      <c r="B247" s="253"/>
      <c r="C247" s="253"/>
      <c r="D247" s="16"/>
      <c r="E247" s="106">
        <f>SUM(E238:E245)</f>
        <v>0</v>
      </c>
      <c r="F247" s="106">
        <f>SUM(F238:F246)</f>
        <v>918069.26</v>
      </c>
      <c r="G247" s="106">
        <f>SUM(G238:G246)</f>
        <v>918069.26</v>
      </c>
    </row>
    <row r="248" spans="1:7" x14ac:dyDescent="0.25">
      <c r="A248" s="15">
        <v>4</v>
      </c>
      <c r="B248" s="254" t="s">
        <v>192</v>
      </c>
      <c r="C248" s="254"/>
      <c r="D248" s="254"/>
      <c r="E248" s="254"/>
      <c r="F248" s="254"/>
      <c r="G248" s="254"/>
    </row>
    <row r="249" spans="1:7" x14ac:dyDescent="0.25">
      <c r="A249" s="253" t="s">
        <v>22</v>
      </c>
      <c r="B249" s="253"/>
      <c r="C249" s="253"/>
      <c r="D249" s="16"/>
      <c r="E249" s="106">
        <v>0</v>
      </c>
      <c r="F249" s="106">
        <v>0</v>
      </c>
      <c r="G249" s="18">
        <v>0</v>
      </c>
    </row>
    <row r="250" spans="1:7" x14ac:dyDescent="0.25">
      <c r="A250" s="15">
        <v>5</v>
      </c>
      <c r="B250" s="267" t="s">
        <v>193</v>
      </c>
      <c r="C250" s="268"/>
      <c r="D250" s="268"/>
      <c r="E250" s="268"/>
      <c r="F250" s="268"/>
      <c r="G250" s="269"/>
    </row>
    <row r="251" spans="1:7" x14ac:dyDescent="0.25">
      <c r="A251" s="253" t="s">
        <v>22</v>
      </c>
      <c r="B251" s="253"/>
      <c r="C251" s="253"/>
      <c r="D251" s="16"/>
      <c r="E251" s="106">
        <v>0</v>
      </c>
      <c r="F251" s="106">
        <v>0</v>
      </c>
      <c r="G251" s="18">
        <v>0</v>
      </c>
    </row>
    <row r="252" spans="1:7" x14ac:dyDescent="0.25">
      <c r="A252" s="255" t="s">
        <v>1</v>
      </c>
      <c r="B252" s="255"/>
      <c r="C252" s="255"/>
      <c r="D252" s="255"/>
      <c r="E252" s="39">
        <f>E232+E236+E247+E249+E251</f>
        <v>0</v>
      </c>
      <c r="F252" s="39">
        <f>F232+F236++F249+F251+F247</f>
        <v>1178619.26</v>
      </c>
      <c r="G252" s="39">
        <f>G232+G236+G247+G249+G251</f>
        <v>1178619.26</v>
      </c>
    </row>
    <row r="253" spans="1:7" x14ac:dyDescent="0.25">
      <c r="A253" s="10" t="s">
        <v>33</v>
      </c>
      <c r="B253" s="10"/>
      <c r="C253" s="11"/>
      <c r="D253" s="12"/>
      <c r="E253" s="108"/>
      <c r="F253" s="108"/>
      <c r="G253" s="108"/>
    </row>
    <row r="255" spans="1:7" x14ac:dyDescent="0.25">
      <c r="A255" s="258" t="s">
        <v>385</v>
      </c>
      <c r="B255" s="258"/>
      <c r="C255" s="258"/>
      <c r="D255" s="258"/>
      <c r="E255" s="258"/>
      <c r="F255" s="258"/>
      <c r="G255" s="258"/>
    </row>
    <row r="256" spans="1:7" ht="38.25" x14ac:dyDescent="0.25">
      <c r="A256" s="13" t="s">
        <v>27</v>
      </c>
      <c r="B256" s="13" t="s">
        <v>28</v>
      </c>
      <c r="C256" s="13" t="s">
        <v>29</v>
      </c>
      <c r="D256" s="13" t="s">
        <v>2</v>
      </c>
      <c r="E256" s="14" t="s">
        <v>357</v>
      </c>
      <c r="F256" s="14" t="s">
        <v>358</v>
      </c>
      <c r="G256" s="14" t="s">
        <v>359</v>
      </c>
    </row>
    <row r="257" spans="1:7" x14ac:dyDescent="0.25">
      <c r="A257" s="15">
        <v>1</v>
      </c>
      <c r="B257" s="254" t="s">
        <v>190</v>
      </c>
      <c r="C257" s="254"/>
      <c r="D257" s="254"/>
      <c r="E257" s="254"/>
      <c r="F257" s="254"/>
      <c r="G257" s="254"/>
    </row>
    <row r="258" spans="1:7" x14ac:dyDescent="0.25">
      <c r="A258" s="253" t="s">
        <v>22</v>
      </c>
      <c r="B258" s="253"/>
      <c r="C258" s="253"/>
      <c r="D258" s="16"/>
      <c r="E258" s="106">
        <v>0</v>
      </c>
      <c r="F258" s="106">
        <v>0</v>
      </c>
      <c r="G258" s="106">
        <v>0</v>
      </c>
    </row>
    <row r="259" spans="1:7" x14ac:dyDescent="0.25">
      <c r="A259" s="15">
        <v>2</v>
      </c>
      <c r="B259" s="254" t="s">
        <v>191</v>
      </c>
      <c r="C259" s="254"/>
      <c r="D259" s="254"/>
      <c r="E259" s="254"/>
      <c r="F259" s="254"/>
      <c r="G259" s="254"/>
    </row>
    <row r="260" spans="1:7" s="7" customFormat="1" x14ac:dyDescent="0.25">
      <c r="A260" s="221" t="s">
        <v>218</v>
      </c>
      <c r="B260" s="222" t="s">
        <v>352</v>
      </c>
      <c r="C260" s="222" t="s">
        <v>349</v>
      </c>
      <c r="D260" s="221"/>
      <c r="E260" s="28">
        <v>0</v>
      </c>
      <c r="F260" s="28">
        <f>108960+292830+286020+190680</f>
        <v>878490</v>
      </c>
      <c r="G260" s="30">
        <f t="shared" ref="G260" si="62">SUM(E260:F260)</f>
        <v>878490</v>
      </c>
    </row>
    <row r="261" spans="1:7" x14ac:dyDescent="0.25">
      <c r="A261" s="253" t="s">
        <v>22</v>
      </c>
      <c r="B261" s="253"/>
      <c r="C261" s="253"/>
      <c r="D261" s="16"/>
      <c r="E261" s="106">
        <v>0</v>
      </c>
      <c r="F261" s="106">
        <f>F260</f>
        <v>878490</v>
      </c>
      <c r="G261" s="106">
        <f>G260</f>
        <v>878490</v>
      </c>
    </row>
    <row r="262" spans="1:7" x14ac:dyDescent="0.25">
      <c r="A262" s="15">
        <v>3</v>
      </c>
      <c r="B262" s="254" t="s">
        <v>187</v>
      </c>
      <c r="C262" s="254"/>
      <c r="D262" s="254"/>
      <c r="E262" s="254"/>
      <c r="F262" s="254"/>
      <c r="G262" s="254"/>
    </row>
    <row r="263" spans="1:7" x14ac:dyDescent="0.25">
      <c r="A263" s="221" t="s">
        <v>4</v>
      </c>
      <c r="B263" s="222" t="s">
        <v>74</v>
      </c>
      <c r="C263" s="222" t="s">
        <v>74</v>
      </c>
      <c r="D263" s="221"/>
      <c r="E263" s="28">
        <v>0</v>
      </c>
      <c r="F263" s="28">
        <f>29464.88+36151.4+2998.33+144369+5402.26+6115.15+99493.81+17365.84+21040.35</f>
        <v>362401.01999999996</v>
      </c>
      <c r="G263" s="30">
        <f t="shared" ref="G263" si="63">SUM(E263:F263)</f>
        <v>362401.01999999996</v>
      </c>
    </row>
    <row r="264" spans="1:7" x14ac:dyDescent="0.25">
      <c r="A264" s="224" t="s">
        <v>381</v>
      </c>
      <c r="B264" s="223" t="s">
        <v>132</v>
      </c>
      <c r="C264" s="222" t="s">
        <v>374</v>
      </c>
      <c r="D264" s="221"/>
      <c r="E264" s="28">
        <v>0</v>
      </c>
      <c r="F264" s="28">
        <f>(21482.34+9098.68+130.06)-21482.34</f>
        <v>9228.7400000000016</v>
      </c>
      <c r="G264" s="30">
        <f t="shared" ref="G264:G268" si="64">SUM(E264:F264)</f>
        <v>9228.7400000000016</v>
      </c>
    </row>
    <row r="265" spans="1:7" x14ac:dyDescent="0.25">
      <c r="A265" s="224" t="s">
        <v>6</v>
      </c>
      <c r="B265" s="223" t="s">
        <v>10</v>
      </c>
      <c r="C265" s="222" t="s">
        <v>11</v>
      </c>
      <c r="D265" s="221"/>
      <c r="E265" s="28">
        <v>0</v>
      </c>
      <c r="F265" s="28">
        <v>49963.91</v>
      </c>
      <c r="G265" s="30">
        <f t="shared" si="64"/>
        <v>49963.91</v>
      </c>
    </row>
    <row r="266" spans="1:7" x14ac:dyDescent="0.25">
      <c r="A266" s="224" t="s">
        <v>18</v>
      </c>
      <c r="B266" s="33" t="s">
        <v>275</v>
      </c>
      <c r="C266" s="222" t="s">
        <v>317</v>
      </c>
      <c r="D266" s="221"/>
      <c r="E266" s="28">
        <v>0</v>
      </c>
      <c r="F266" s="28">
        <f>4945.92+5100.48</f>
        <v>10046.4</v>
      </c>
      <c r="G266" s="30">
        <f t="shared" si="64"/>
        <v>10046.4</v>
      </c>
    </row>
    <row r="267" spans="1:7" x14ac:dyDescent="0.25">
      <c r="A267" s="274" t="s">
        <v>23</v>
      </c>
      <c r="B267" s="272" t="s">
        <v>13</v>
      </c>
      <c r="C267" s="222" t="s">
        <v>324</v>
      </c>
      <c r="D267" s="221"/>
      <c r="E267" s="28">
        <v>0</v>
      </c>
      <c r="F267" s="28">
        <v>941.32</v>
      </c>
      <c r="G267" s="30">
        <f t="shared" si="64"/>
        <v>941.32</v>
      </c>
    </row>
    <row r="268" spans="1:7" x14ac:dyDescent="0.25">
      <c r="A268" s="275"/>
      <c r="B268" s="273"/>
      <c r="C268" s="222" t="s">
        <v>318</v>
      </c>
      <c r="D268" s="221"/>
      <c r="E268" s="28">
        <v>0</v>
      </c>
      <c r="F268" s="28">
        <f>648.39+71.91</f>
        <v>720.3</v>
      </c>
      <c r="G268" s="30">
        <f t="shared" si="64"/>
        <v>720.3</v>
      </c>
    </row>
    <row r="269" spans="1:7" ht="25.5" x14ac:dyDescent="0.25">
      <c r="A269" s="221" t="s">
        <v>24</v>
      </c>
      <c r="B269" s="190" t="s">
        <v>332</v>
      </c>
      <c r="C269" s="222" t="s">
        <v>333</v>
      </c>
      <c r="D269" s="221"/>
      <c r="E269" s="28">
        <v>0</v>
      </c>
      <c r="F269" s="28">
        <f>32967.42+32967.42</f>
        <v>65934.84</v>
      </c>
      <c r="G269" s="30">
        <f t="shared" ref="G269" si="65">SUM(E269:F269)</f>
        <v>65934.84</v>
      </c>
    </row>
    <row r="270" spans="1:7" ht="25.5" x14ac:dyDescent="0.25">
      <c r="A270" s="224" t="s">
        <v>25</v>
      </c>
      <c r="B270" s="201" t="s">
        <v>112</v>
      </c>
      <c r="C270" s="222" t="s">
        <v>113</v>
      </c>
      <c r="D270" s="221"/>
      <c r="E270" s="28">
        <v>0</v>
      </c>
      <c r="F270" s="28">
        <v>689.31</v>
      </c>
      <c r="G270" s="30">
        <f t="shared" ref="G270" si="66">SUM(E270:F270)</f>
        <v>689.31</v>
      </c>
    </row>
    <row r="271" spans="1:7" x14ac:dyDescent="0.25">
      <c r="A271" s="224" t="s">
        <v>41</v>
      </c>
      <c r="B271" s="222" t="s">
        <v>7</v>
      </c>
      <c r="C271" s="222" t="s">
        <v>354</v>
      </c>
      <c r="D271" s="221"/>
      <c r="E271" s="28">
        <v>0</v>
      </c>
      <c r="F271" s="28">
        <f>11070+1188.72+11070+1188.72</f>
        <v>24517.440000000002</v>
      </c>
      <c r="G271" s="30">
        <f t="shared" ref="G271" si="67">SUM(E271:F271)</f>
        <v>24517.440000000002</v>
      </c>
    </row>
    <row r="272" spans="1:7" x14ac:dyDescent="0.25">
      <c r="A272" s="253" t="s">
        <v>22</v>
      </c>
      <c r="B272" s="253"/>
      <c r="C272" s="253"/>
      <c r="D272" s="16"/>
      <c r="E272" s="106">
        <f>SUM(E263:E270)</f>
        <v>0</v>
      </c>
      <c r="F272" s="106">
        <f>SUM(F263:F271)</f>
        <v>524443.27999999991</v>
      </c>
      <c r="G272" s="106">
        <f>SUM(G263:G271)</f>
        <v>524443.27999999991</v>
      </c>
    </row>
    <row r="273" spans="1:7" x14ac:dyDescent="0.25">
      <c r="A273" s="15">
        <v>4</v>
      </c>
      <c r="B273" s="254" t="s">
        <v>192</v>
      </c>
      <c r="C273" s="254"/>
      <c r="D273" s="254"/>
      <c r="E273" s="254"/>
      <c r="F273" s="254"/>
      <c r="G273" s="254"/>
    </row>
    <row r="274" spans="1:7" x14ac:dyDescent="0.25">
      <c r="A274" s="253" t="s">
        <v>22</v>
      </c>
      <c r="B274" s="253"/>
      <c r="C274" s="253"/>
      <c r="D274" s="16"/>
      <c r="E274" s="106">
        <v>0</v>
      </c>
      <c r="F274" s="106">
        <v>0</v>
      </c>
      <c r="G274" s="18">
        <v>0</v>
      </c>
    </row>
    <row r="275" spans="1:7" x14ac:dyDescent="0.25">
      <c r="A275" s="15">
        <v>5</v>
      </c>
      <c r="B275" s="267" t="s">
        <v>193</v>
      </c>
      <c r="C275" s="268"/>
      <c r="D275" s="268"/>
      <c r="E275" s="268"/>
      <c r="F275" s="268"/>
      <c r="G275" s="269"/>
    </row>
    <row r="276" spans="1:7" x14ac:dyDescent="0.25">
      <c r="A276" s="253" t="s">
        <v>22</v>
      </c>
      <c r="B276" s="253"/>
      <c r="C276" s="253"/>
      <c r="D276" s="16"/>
      <c r="E276" s="106">
        <v>0</v>
      </c>
      <c r="F276" s="106">
        <v>0</v>
      </c>
      <c r="G276" s="18">
        <v>0</v>
      </c>
    </row>
    <row r="277" spans="1:7" x14ac:dyDescent="0.25">
      <c r="A277" s="255" t="s">
        <v>1</v>
      </c>
      <c r="B277" s="255"/>
      <c r="C277" s="255"/>
      <c r="D277" s="255"/>
      <c r="E277" s="39">
        <f>E258+E261+E272+E274+E276</f>
        <v>0</v>
      </c>
      <c r="F277" s="39">
        <f>F258+F261++F274+F276+F272</f>
        <v>1402933.2799999998</v>
      </c>
      <c r="G277" s="39">
        <f>G258+G261+G272+G274+G276</f>
        <v>1402933.2799999998</v>
      </c>
    </row>
    <row r="278" spans="1:7" x14ac:dyDescent="0.25">
      <c r="A278" s="10" t="s">
        <v>33</v>
      </c>
      <c r="B278" s="10"/>
      <c r="C278" s="11"/>
      <c r="D278" s="12"/>
      <c r="E278" s="108"/>
      <c r="F278" s="108"/>
      <c r="G278" s="108"/>
    </row>
    <row r="280" spans="1:7" x14ac:dyDescent="0.25">
      <c r="A280" s="258" t="s">
        <v>386</v>
      </c>
      <c r="B280" s="258"/>
      <c r="C280" s="258"/>
      <c r="D280" s="258"/>
      <c r="E280" s="258"/>
      <c r="F280" s="258"/>
      <c r="G280" s="258"/>
    </row>
    <row r="281" spans="1:7" ht="38.25" x14ac:dyDescent="0.25">
      <c r="A281" s="13" t="s">
        <v>27</v>
      </c>
      <c r="B281" s="13" t="s">
        <v>28</v>
      </c>
      <c r="C281" s="13" t="s">
        <v>29</v>
      </c>
      <c r="D281" s="13" t="s">
        <v>2</v>
      </c>
      <c r="E281" s="14" t="s">
        <v>357</v>
      </c>
      <c r="F281" s="14" t="s">
        <v>358</v>
      </c>
      <c r="G281" s="14" t="s">
        <v>359</v>
      </c>
    </row>
    <row r="282" spans="1:7" x14ac:dyDescent="0.25">
      <c r="A282" s="15">
        <v>1</v>
      </c>
      <c r="B282" s="254" t="s">
        <v>190</v>
      </c>
      <c r="C282" s="254"/>
      <c r="D282" s="254"/>
      <c r="E282" s="254"/>
      <c r="F282" s="254"/>
      <c r="G282" s="254"/>
    </row>
    <row r="283" spans="1:7" x14ac:dyDescent="0.25">
      <c r="A283" s="253" t="s">
        <v>22</v>
      </c>
      <c r="B283" s="253"/>
      <c r="C283" s="253"/>
      <c r="D283" s="16"/>
      <c r="E283" s="106">
        <v>0</v>
      </c>
      <c r="F283" s="106">
        <v>0</v>
      </c>
      <c r="G283" s="106">
        <v>0</v>
      </c>
    </row>
    <row r="284" spans="1:7" x14ac:dyDescent="0.25">
      <c r="A284" s="15">
        <v>2</v>
      </c>
      <c r="B284" s="254" t="s">
        <v>191</v>
      </c>
      <c r="C284" s="254"/>
      <c r="D284" s="254"/>
      <c r="E284" s="254"/>
      <c r="F284" s="254"/>
      <c r="G284" s="254"/>
    </row>
    <row r="285" spans="1:7" x14ac:dyDescent="0.25">
      <c r="A285" s="253" t="s">
        <v>22</v>
      </c>
      <c r="B285" s="253"/>
      <c r="C285" s="253"/>
      <c r="D285" s="16"/>
      <c r="E285" s="106">
        <v>0</v>
      </c>
      <c r="F285" s="106">
        <v>0</v>
      </c>
      <c r="G285" s="106">
        <v>0</v>
      </c>
    </row>
    <row r="286" spans="1:7" x14ac:dyDescent="0.25">
      <c r="A286" s="15">
        <v>3</v>
      </c>
      <c r="B286" s="254" t="s">
        <v>187</v>
      </c>
      <c r="C286" s="254"/>
      <c r="D286" s="254"/>
      <c r="E286" s="254"/>
      <c r="F286" s="254"/>
      <c r="G286" s="254"/>
    </row>
    <row r="287" spans="1:7" x14ac:dyDescent="0.25">
      <c r="A287" s="221" t="s">
        <v>4</v>
      </c>
      <c r="B287" s="222" t="s">
        <v>74</v>
      </c>
      <c r="C287" s="222" t="s">
        <v>74</v>
      </c>
      <c r="D287" s="221"/>
      <c r="E287" s="28">
        <v>0</v>
      </c>
      <c r="F287" s="28">
        <f>29334.84+36151.4+2998.33+6115.15+98755.84+5235.18+17569.8+27638.9+143173.78+4056.53+95902.38</f>
        <v>466932.13</v>
      </c>
      <c r="G287" s="30">
        <f t="shared" ref="G287" si="68">SUM(E287:F287)</f>
        <v>466932.13</v>
      </c>
    </row>
    <row r="288" spans="1:7" x14ac:dyDescent="0.25">
      <c r="A288" s="224" t="s">
        <v>381</v>
      </c>
      <c r="B288" s="223" t="s">
        <v>132</v>
      </c>
      <c r="C288" s="222" t="s">
        <v>374</v>
      </c>
      <c r="D288" s="221"/>
      <c r="E288" s="28">
        <v>0</v>
      </c>
      <c r="F288" s="28"/>
      <c r="G288" s="30">
        <f t="shared" ref="G288:G292" si="69">SUM(E288:F288)</f>
        <v>0</v>
      </c>
    </row>
    <row r="289" spans="1:7" x14ac:dyDescent="0.25">
      <c r="A289" s="224" t="s">
        <v>6</v>
      </c>
      <c r="B289" s="223" t="s">
        <v>10</v>
      </c>
      <c r="C289" s="222" t="s">
        <v>11</v>
      </c>
      <c r="D289" s="221"/>
      <c r="E289" s="28">
        <v>0</v>
      </c>
      <c r="F289" s="28"/>
      <c r="G289" s="30">
        <f t="shared" si="69"/>
        <v>0</v>
      </c>
    </row>
    <row r="290" spans="1:7" x14ac:dyDescent="0.25">
      <c r="A290" s="224" t="s">
        <v>18</v>
      </c>
      <c r="B290" s="33" t="s">
        <v>275</v>
      </c>
      <c r="C290" s="222" t="s">
        <v>317</v>
      </c>
      <c r="D290" s="221"/>
      <c r="E290" s="28">
        <v>0</v>
      </c>
      <c r="F290" s="28">
        <f>4639.8</f>
        <v>4639.8</v>
      </c>
      <c r="G290" s="30">
        <f t="shared" si="69"/>
        <v>4639.8</v>
      </c>
    </row>
    <row r="291" spans="1:7" x14ac:dyDescent="0.25">
      <c r="A291" s="274" t="s">
        <v>23</v>
      </c>
      <c r="B291" s="272" t="s">
        <v>13</v>
      </c>
      <c r="C291" s="222" t="s">
        <v>324</v>
      </c>
      <c r="D291" s="221"/>
      <c r="E291" s="28">
        <v>0</v>
      </c>
      <c r="F291" s="28"/>
      <c r="G291" s="30">
        <f t="shared" si="69"/>
        <v>0</v>
      </c>
    </row>
    <row r="292" spans="1:7" x14ac:dyDescent="0.25">
      <c r="A292" s="275"/>
      <c r="B292" s="273"/>
      <c r="C292" s="222" t="s">
        <v>318</v>
      </c>
      <c r="D292" s="221"/>
      <c r="E292" s="28">
        <v>0</v>
      </c>
      <c r="F292" s="28"/>
      <c r="G292" s="30">
        <f t="shared" si="69"/>
        <v>0</v>
      </c>
    </row>
    <row r="293" spans="1:7" ht="25.5" x14ac:dyDescent="0.25">
      <c r="A293" s="221" t="s">
        <v>24</v>
      </c>
      <c r="B293" s="190" t="s">
        <v>332</v>
      </c>
      <c r="C293" s="222" t="s">
        <v>333</v>
      </c>
      <c r="D293" s="221"/>
      <c r="E293" s="28">
        <v>0</v>
      </c>
      <c r="F293" s="28"/>
      <c r="G293" s="30">
        <f t="shared" ref="G293" si="70">SUM(E293:F293)</f>
        <v>0</v>
      </c>
    </row>
    <row r="294" spans="1:7" ht="25.5" x14ac:dyDescent="0.25">
      <c r="A294" s="224" t="s">
        <v>25</v>
      </c>
      <c r="B294" s="201" t="s">
        <v>112</v>
      </c>
      <c r="C294" s="222" t="s">
        <v>113</v>
      </c>
      <c r="D294" s="221"/>
      <c r="E294" s="28">
        <v>0</v>
      </c>
      <c r="F294" s="28"/>
      <c r="G294" s="30">
        <f t="shared" ref="G294" si="71">SUM(E294:F294)</f>
        <v>0</v>
      </c>
    </row>
    <row r="295" spans="1:7" x14ac:dyDescent="0.25">
      <c r="A295" s="224" t="s">
        <v>41</v>
      </c>
      <c r="B295" s="222" t="s">
        <v>7</v>
      </c>
      <c r="C295" s="222" t="s">
        <v>354</v>
      </c>
      <c r="D295" s="221"/>
      <c r="E295" s="28">
        <v>0</v>
      </c>
      <c r="F295" s="28">
        <f>11070+1188.72</f>
        <v>12258.72</v>
      </c>
      <c r="G295" s="30">
        <f t="shared" ref="G295" si="72">SUM(E295:F295)</f>
        <v>12258.72</v>
      </c>
    </row>
    <row r="296" spans="1:7" x14ac:dyDescent="0.25">
      <c r="A296" s="253" t="s">
        <v>22</v>
      </c>
      <c r="B296" s="253"/>
      <c r="C296" s="253"/>
      <c r="D296" s="16"/>
      <c r="E296" s="106">
        <f>SUM(E287:E294)</f>
        <v>0</v>
      </c>
      <c r="F296" s="106">
        <f>SUM(F287:F295)</f>
        <v>483830.64999999997</v>
      </c>
      <c r="G296" s="106">
        <f>SUM(G287:G295)</f>
        <v>483830.64999999997</v>
      </c>
    </row>
    <row r="297" spans="1:7" x14ac:dyDescent="0.25">
      <c r="A297" s="15">
        <v>4</v>
      </c>
      <c r="B297" s="254" t="s">
        <v>192</v>
      </c>
      <c r="C297" s="254"/>
      <c r="D297" s="254"/>
      <c r="E297" s="254"/>
      <c r="F297" s="254"/>
      <c r="G297" s="254"/>
    </row>
    <row r="298" spans="1:7" x14ac:dyDescent="0.25">
      <c r="A298" s="253" t="s">
        <v>22</v>
      </c>
      <c r="B298" s="253"/>
      <c r="C298" s="253"/>
      <c r="D298" s="16"/>
      <c r="E298" s="106">
        <v>0</v>
      </c>
      <c r="F298" s="106">
        <v>0</v>
      </c>
      <c r="G298" s="18">
        <v>0</v>
      </c>
    </row>
    <row r="299" spans="1:7" x14ac:dyDescent="0.25">
      <c r="A299" s="15">
        <v>5</v>
      </c>
      <c r="B299" s="267" t="s">
        <v>193</v>
      </c>
      <c r="C299" s="268"/>
      <c r="D299" s="268"/>
      <c r="E299" s="268"/>
      <c r="F299" s="268"/>
      <c r="G299" s="269"/>
    </row>
    <row r="300" spans="1:7" x14ac:dyDescent="0.25">
      <c r="A300" s="253" t="s">
        <v>22</v>
      </c>
      <c r="B300" s="253"/>
      <c r="C300" s="253"/>
      <c r="D300" s="16"/>
      <c r="E300" s="106">
        <v>0</v>
      </c>
      <c r="F300" s="106">
        <v>636914.77</v>
      </c>
      <c r="G300" s="18">
        <f>F300</f>
        <v>636914.77</v>
      </c>
    </row>
    <row r="301" spans="1:7" x14ac:dyDescent="0.25">
      <c r="A301" s="255" t="s">
        <v>1</v>
      </c>
      <c r="B301" s="255"/>
      <c r="C301" s="255"/>
      <c r="D301" s="255"/>
      <c r="E301" s="39">
        <f>E283+E285+E296+E298+E300</f>
        <v>0</v>
      </c>
      <c r="F301" s="39">
        <f>F283+F285++F298+F300+F296</f>
        <v>1120745.42</v>
      </c>
      <c r="G301" s="39">
        <f>G283+G285+G296+G298+G300</f>
        <v>1120745.42</v>
      </c>
    </row>
    <row r="302" spans="1:7" x14ac:dyDescent="0.25">
      <c r="A302" s="10" t="s">
        <v>33</v>
      </c>
      <c r="B302" s="10"/>
      <c r="C302" s="11"/>
      <c r="D302" s="12"/>
      <c r="E302" s="108"/>
      <c r="F302" s="108"/>
      <c r="G302" s="108"/>
    </row>
  </sheetData>
  <mergeCells count="177">
    <mergeCell ref="A301:D301"/>
    <mergeCell ref="A285:C285"/>
    <mergeCell ref="B286:G286"/>
    <mergeCell ref="A291:A292"/>
    <mergeCell ref="B291:B292"/>
    <mergeCell ref="A296:C296"/>
    <mergeCell ref="B297:G297"/>
    <mergeCell ref="A298:C298"/>
    <mergeCell ref="B299:G299"/>
    <mergeCell ref="A300:C300"/>
    <mergeCell ref="B273:G273"/>
    <mergeCell ref="A274:C274"/>
    <mergeCell ref="B275:G275"/>
    <mergeCell ref="A276:C276"/>
    <mergeCell ref="A277:D277"/>
    <mergeCell ref="A280:G280"/>
    <mergeCell ref="B282:G282"/>
    <mergeCell ref="A283:C283"/>
    <mergeCell ref="B284:G284"/>
    <mergeCell ref="A255:G255"/>
    <mergeCell ref="B257:G257"/>
    <mergeCell ref="A258:C258"/>
    <mergeCell ref="B259:G259"/>
    <mergeCell ref="A261:C261"/>
    <mergeCell ref="B262:G262"/>
    <mergeCell ref="A267:A268"/>
    <mergeCell ref="B267:B268"/>
    <mergeCell ref="A272:C272"/>
    <mergeCell ref="B222:G222"/>
    <mergeCell ref="A223:C223"/>
    <mergeCell ref="B224:G224"/>
    <mergeCell ref="A225:C225"/>
    <mergeCell ref="A226:D226"/>
    <mergeCell ref="A218:A219"/>
    <mergeCell ref="B218:B219"/>
    <mergeCell ref="A205:G205"/>
    <mergeCell ref="B207:G207"/>
    <mergeCell ref="A208:C208"/>
    <mergeCell ref="B209:G209"/>
    <mergeCell ref="A212:C212"/>
    <mergeCell ref="B213:G213"/>
    <mergeCell ref="A221:C221"/>
    <mergeCell ref="A117:A118"/>
    <mergeCell ref="B117:B118"/>
    <mergeCell ref="A121:A122"/>
    <mergeCell ref="B121:B122"/>
    <mergeCell ref="A23:C23"/>
    <mergeCell ref="B24:G24"/>
    <mergeCell ref="B40:G40"/>
    <mergeCell ref="A51:C51"/>
    <mergeCell ref="B52:G52"/>
    <mergeCell ref="A29:D29"/>
    <mergeCell ref="B54:G54"/>
    <mergeCell ref="A56:C56"/>
    <mergeCell ref="A57:D57"/>
    <mergeCell ref="A43:A45"/>
    <mergeCell ref="B43:B45"/>
    <mergeCell ref="A47:A48"/>
    <mergeCell ref="B47:B48"/>
    <mergeCell ref="A53:C53"/>
    <mergeCell ref="A32:G32"/>
    <mergeCell ref="B34:G34"/>
    <mergeCell ref="A36:C36"/>
    <mergeCell ref="B37:G37"/>
    <mergeCell ref="A39:C39"/>
    <mergeCell ref="B79:G79"/>
    <mergeCell ref="A1:G1"/>
    <mergeCell ref="A2:G2"/>
    <mergeCell ref="B3:G3"/>
    <mergeCell ref="A4:G4"/>
    <mergeCell ref="A6:G6"/>
    <mergeCell ref="B8:G8"/>
    <mergeCell ref="A25:C25"/>
    <mergeCell ref="B26:G26"/>
    <mergeCell ref="A28:C28"/>
    <mergeCell ref="C9:C10"/>
    <mergeCell ref="A21:A22"/>
    <mergeCell ref="B21:B22"/>
    <mergeCell ref="A11:C11"/>
    <mergeCell ref="B12:G12"/>
    <mergeCell ref="A14:C14"/>
    <mergeCell ref="B15:G15"/>
    <mergeCell ref="A60:G60"/>
    <mergeCell ref="B62:G62"/>
    <mergeCell ref="A63:C63"/>
    <mergeCell ref="B64:G64"/>
    <mergeCell ref="A65:C65"/>
    <mergeCell ref="B66:G66"/>
    <mergeCell ref="A69:A70"/>
    <mergeCell ref="B69:B70"/>
    <mergeCell ref="A72:A73"/>
    <mergeCell ref="B72:B73"/>
    <mergeCell ref="A78:C78"/>
    <mergeCell ref="A89:C89"/>
    <mergeCell ref="B90:G90"/>
    <mergeCell ref="A91:C91"/>
    <mergeCell ref="B92:G92"/>
    <mergeCell ref="A80:C80"/>
    <mergeCell ref="B81:G81"/>
    <mergeCell ref="A82:C82"/>
    <mergeCell ref="A83:D83"/>
    <mergeCell ref="A86:G86"/>
    <mergeCell ref="B88:G88"/>
    <mergeCell ref="B137:G137"/>
    <mergeCell ref="A131:G131"/>
    <mergeCell ref="B133:G133"/>
    <mergeCell ref="A134:C134"/>
    <mergeCell ref="B135:G135"/>
    <mergeCell ref="A136:C136"/>
    <mergeCell ref="A104:C104"/>
    <mergeCell ref="A105:D105"/>
    <mergeCell ref="A100:C100"/>
    <mergeCell ref="B101:G101"/>
    <mergeCell ref="A102:C102"/>
    <mergeCell ref="B103:G103"/>
    <mergeCell ref="A108:G108"/>
    <mergeCell ref="B110:G110"/>
    <mergeCell ref="A111:C111"/>
    <mergeCell ref="B112:G112"/>
    <mergeCell ref="A113:C113"/>
    <mergeCell ref="B114:G114"/>
    <mergeCell ref="A123:C123"/>
    <mergeCell ref="B124:G124"/>
    <mergeCell ref="A125:C125"/>
    <mergeCell ref="B126:G126"/>
    <mergeCell ref="A127:C127"/>
    <mergeCell ref="A128:D128"/>
    <mergeCell ref="A151:D151"/>
    <mergeCell ref="A154:G154"/>
    <mergeCell ref="B156:G156"/>
    <mergeCell ref="A157:C157"/>
    <mergeCell ref="B158:G158"/>
    <mergeCell ref="A146:C146"/>
    <mergeCell ref="B147:G147"/>
    <mergeCell ref="A148:C148"/>
    <mergeCell ref="B149:G149"/>
    <mergeCell ref="A150:C150"/>
    <mergeCell ref="B175:G175"/>
    <mergeCell ref="A176:C176"/>
    <mergeCell ref="A177:D177"/>
    <mergeCell ref="A164:A166"/>
    <mergeCell ref="B164:B166"/>
    <mergeCell ref="A170:A171"/>
    <mergeCell ref="B170:B171"/>
    <mergeCell ref="A160:C160"/>
    <mergeCell ref="B161:G161"/>
    <mergeCell ref="A172:C172"/>
    <mergeCell ref="B173:G173"/>
    <mergeCell ref="A174:C174"/>
    <mergeCell ref="A197:C197"/>
    <mergeCell ref="B198:G198"/>
    <mergeCell ref="A199:C199"/>
    <mergeCell ref="B200:G200"/>
    <mergeCell ref="A201:C201"/>
    <mergeCell ref="A202:D202"/>
    <mergeCell ref="A180:G180"/>
    <mergeCell ref="B182:G182"/>
    <mergeCell ref="A183:C183"/>
    <mergeCell ref="B184:G184"/>
    <mergeCell ref="A187:C187"/>
    <mergeCell ref="B188:G188"/>
    <mergeCell ref="A190:A192"/>
    <mergeCell ref="B190:B192"/>
    <mergeCell ref="B248:G248"/>
    <mergeCell ref="A249:C249"/>
    <mergeCell ref="B250:G250"/>
    <mergeCell ref="A251:C251"/>
    <mergeCell ref="A252:D252"/>
    <mergeCell ref="A229:G229"/>
    <mergeCell ref="B231:G231"/>
    <mergeCell ref="A232:C232"/>
    <mergeCell ref="B233:G233"/>
    <mergeCell ref="A236:C236"/>
    <mergeCell ref="B237:G237"/>
    <mergeCell ref="A242:A243"/>
    <mergeCell ref="B242:B243"/>
    <mergeCell ref="A247:C24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5"/>
  <sheetViews>
    <sheetView tabSelected="1" workbookViewId="0">
      <selection activeCell="C299" sqref="C299"/>
    </sheetView>
  </sheetViews>
  <sheetFormatPr defaultRowHeight="15" x14ac:dyDescent="0.25"/>
  <cols>
    <col min="1" max="1" width="8.140625" style="228" customWidth="1"/>
    <col min="2" max="2" width="51.28515625" style="228" customWidth="1"/>
    <col min="3" max="3" width="43.85546875" style="228" customWidth="1"/>
    <col min="4" max="4" width="8" style="228" hidden="1" customWidth="1"/>
    <col min="5" max="5" width="16.140625" style="228" customWidth="1"/>
    <col min="6" max="6" width="14.28515625" style="228" customWidth="1"/>
    <col min="7" max="7" width="15.28515625" style="228" customWidth="1"/>
    <col min="8" max="16384" width="9.140625" style="228"/>
  </cols>
  <sheetData>
    <row r="1" spans="1:7" ht="15.75" x14ac:dyDescent="0.25">
      <c r="A1" s="303" t="s">
        <v>35</v>
      </c>
      <c r="B1" s="303"/>
      <c r="C1" s="303"/>
      <c r="D1" s="303"/>
      <c r="E1" s="303"/>
      <c r="F1" s="303"/>
      <c r="G1" s="303"/>
    </row>
    <row r="2" spans="1:7" ht="15.75" x14ac:dyDescent="0.25">
      <c r="A2" s="303" t="s">
        <v>34</v>
      </c>
      <c r="B2" s="303"/>
      <c r="C2" s="303"/>
      <c r="D2" s="303"/>
      <c r="E2" s="303"/>
      <c r="F2" s="303"/>
      <c r="G2" s="303"/>
    </row>
    <row r="3" spans="1:7" ht="15.75" x14ac:dyDescent="0.25">
      <c r="A3" s="229"/>
      <c r="B3" s="303" t="s">
        <v>394</v>
      </c>
      <c r="C3" s="303"/>
      <c r="D3" s="303"/>
      <c r="E3" s="303"/>
      <c r="F3" s="303"/>
      <c r="G3" s="303"/>
    </row>
    <row r="5" spans="1:7" hidden="1" x14ac:dyDescent="0.25">
      <c r="A5" s="293" t="s">
        <v>387</v>
      </c>
      <c r="B5" s="293"/>
      <c r="C5" s="293"/>
      <c r="D5" s="293"/>
      <c r="E5" s="293"/>
      <c r="F5" s="293"/>
      <c r="G5" s="293"/>
    </row>
    <row r="6" spans="1:7" ht="38.25" hidden="1" x14ac:dyDescent="0.25">
      <c r="A6" s="14" t="s">
        <v>27</v>
      </c>
      <c r="B6" s="14" t="s">
        <v>28</v>
      </c>
      <c r="C6" s="14" t="s">
        <v>29</v>
      </c>
      <c r="D6" s="14" t="s">
        <v>2</v>
      </c>
      <c r="E6" s="14" t="s">
        <v>388</v>
      </c>
      <c r="F6" s="14" t="s">
        <v>389</v>
      </c>
      <c r="G6" s="14" t="s">
        <v>390</v>
      </c>
    </row>
    <row r="7" spans="1:7" hidden="1" x14ac:dyDescent="0.25">
      <c r="A7" s="230">
        <v>1</v>
      </c>
      <c r="B7" s="283" t="s">
        <v>190</v>
      </c>
      <c r="C7" s="283"/>
      <c r="D7" s="283"/>
      <c r="E7" s="283"/>
      <c r="F7" s="283"/>
      <c r="G7" s="283"/>
    </row>
    <row r="8" spans="1:7" hidden="1" x14ac:dyDescent="0.25">
      <c r="A8" s="284" t="s">
        <v>22</v>
      </c>
      <c r="B8" s="284"/>
      <c r="C8" s="284"/>
      <c r="D8" s="234"/>
      <c r="E8" s="235">
        <v>0</v>
      </c>
      <c r="F8" s="235">
        <v>0</v>
      </c>
      <c r="G8" s="235">
        <v>0</v>
      </c>
    </row>
    <row r="9" spans="1:7" hidden="1" x14ac:dyDescent="0.25">
      <c r="A9" s="230">
        <v>2</v>
      </c>
      <c r="B9" s="283" t="s">
        <v>191</v>
      </c>
      <c r="C9" s="283"/>
      <c r="D9" s="283"/>
      <c r="E9" s="283"/>
      <c r="F9" s="283"/>
      <c r="G9" s="283"/>
    </row>
    <row r="10" spans="1:7" hidden="1" x14ac:dyDescent="0.25">
      <c r="A10" s="284" t="s">
        <v>22</v>
      </c>
      <c r="B10" s="284"/>
      <c r="C10" s="284"/>
      <c r="D10" s="234"/>
      <c r="E10" s="235">
        <v>0</v>
      </c>
      <c r="F10" s="235">
        <v>0</v>
      </c>
      <c r="G10" s="235">
        <v>0</v>
      </c>
    </row>
    <row r="11" spans="1:7" hidden="1" x14ac:dyDescent="0.25">
      <c r="A11" s="230">
        <v>3</v>
      </c>
      <c r="B11" s="283" t="s">
        <v>187</v>
      </c>
      <c r="C11" s="283"/>
      <c r="D11" s="283"/>
      <c r="E11" s="283"/>
      <c r="F11" s="283"/>
      <c r="G11" s="283"/>
    </row>
    <row r="12" spans="1:7" hidden="1" x14ac:dyDescent="0.25">
      <c r="A12" s="231" t="s">
        <v>4</v>
      </c>
      <c r="B12" s="201" t="s">
        <v>74</v>
      </c>
      <c r="C12" s="201" t="s">
        <v>74</v>
      </c>
      <c r="D12" s="231"/>
      <c r="E12" s="232">
        <f>29632.02+31759.47</f>
        <v>61391.490000000005</v>
      </c>
      <c r="F12" s="232">
        <f>36151.4+2829.41+254.88+5402.26+5990.32+98082.43+14225.43+3601.29+141348.45+262.95+3428.2</f>
        <v>311577.02</v>
      </c>
      <c r="G12" s="233">
        <f t="shared" ref="G12" si="0">SUM(E12:F12)</f>
        <v>372968.51</v>
      </c>
    </row>
    <row r="13" spans="1:7" s="1" customFormat="1" hidden="1" x14ac:dyDescent="0.25">
      <c r="A13" s="274" t="s">
        <v>5</v>
      </c>
      <c r="B13" s="272" t="s">
        <v>13</v>
      </c>
      <c r="C13" s="226" t="s">
        <v>324</v>
      </c>
      <c r="D13" s="225"/>
      <c r="E13" s="28">
        <f>467.61+368.86+1039.46</f>
        <v>1875.93</v>
      </c>
      <c r="F13" s="28">
        <v>0</v>
      </c>
      <c r="G13" s="30">
        <f t="shared" ref="G13:G14" si="1">SUM(E13:F13)</f>
        <v>1875.93</v>
      </c>
    </row>
    <row r="14" spans="1:7" s="1" customFormat="1" hidden="1" x14ac:dyDescent="0.25">
      <c r="A14" s="275"/>
      <c r="B14" s="273"/>
      <c r="C14" s="226" t="s">
        <v>318</v>
      </c>
      <c r="D14" s="225"/>
      <c r="E14" s="28">
        <f>621.92+68.98+61.96+61.96+620.88</f>
        <v>1435.7</v>
      </c>
      <c r="F14" s="28">
        <v>0</v>
      </c>
      <c r="G14" s="30">
        <f t="shared" si="1"/>
        <v>1435.7</v>
      </c>
    </row>
    <row r="15" spans="1:7" s="1" customFormat="1" hidden="1" x14ac:dyDescent="0.25">
      <c r="A15" s="225" t="s">
        <v>6</v>
      </c>
      <c r="B15" s="226" t="s">
        <v>7</v>
      </c>
      <c r="C15" s="226" t="s">
        <v>354</v>
      </c>
      <c r="D15" s="225"/>
      <c r="E15" s="28">
        <f>11070+1188.72</f>
        <v>12258.72</v>
      </c>
      <c r="F15" s="28">
        <v>0</v>
      </c>
      <c r="G15" s="30">
        <f t="shared" ref="G15" si="2">SUM(E15:F15)</f>
        <v>12258.72</v>
      </c>
    </row>
    <row r="16" spans="1:7" s="1" customFormat="1" hidden="1" x14ac:dyDescent="0.25">
      <c r="A16" s="274" t="s">
        <v>18</v>
      </c>
      <c r="B16" s="272" t="s">
        <v>132</v>
      </c>
      <c r="C16" s="226" t="s">
        <v>373</v>
      </c>
      <c r="D16" s="225"/>
      <c r="E16" s="28">
        <f>8822.45+8497.71+8497.71</f>
        <v>25817.87</v>
      </c>
      <c r="F16" s="28">
        <v>0</v>
      </c>
      <c r="G16" s="30">
        <f t="shared" ref="G16:G18" si="3">SUM(E16:F16)</f>
        <v>25817.87</v>
      </c>
    </row>
    <row r="17" spans="1:7" s="1" customFormat="1" hidden="1" x14ac:dyDescent="0.25">
      <c r="A17" s="275"/>
      <c r="B17" s="273"/>
      <c r="C17" s="226" t="s">
        <v>361</v>
      </c>
      <c r="D17" s="225"/>
      <c r="E17" s="28">
        <f>14393.04+11754.3+14393.04</f>
        <v>40540.380000000005</v>
      </c>
      <c r="F17" s="28">
        <v>0</v>
      </c>
      <c r="G17" s="30">
        <f t="shared" si="3"/>
        <v>40540.380000000005</v>
      </c>
    </row>
    <row r="18" spans="1:7" s="1" customFormat="1" ht="25.5" hidden="1" x14ac:dyDescent="0.25">
      <c r="A18" s="225" t="s">
        <v>23</v>
      </c>
      <c r="B18" s="190" t="s">
        <v>332</v>
      </c>
      <c r="C18" s="226" t="s">
        <v>333</v>
      </c>
      <c r="D18" s="225"/>
      <c r="E18" s="28">
        <f>32967.42+32967.42</f>
        <v>65934.84</v>
      </c>
      <c r="F18" s="28">
        <v>0</v>
      </c>
      <c r="G18" s="30">
        <f t="shared" si="3"/>
        <v>65934.84</v>
      </c>
    </row>
    <row r="19" spans="1:7" hidden="1" x14ac:dyDescent="0.25">
      <c r="A19" s="284" t="s">
        <v>22</v>
      </c>
      <c r="B19" s="284"/>
      <c r="C19" s="284"/>
      <c r="D19" s="234"/>
      <c r="E19" s="235">
        <f>SUM(E12:E18)</f>
        <v>209254.93</v>
      </c>
      <c r="F19" s="235">
        <f>SUM(F12:F17)</f>
        <v>311577.02</v>
      </c>
      <c r="G19" s="236">
        <f>SUM(G12:G18)</f>
        <v>520831.94999999995</v>
      </c>
    </row>
    <row r="20" spans="1:7" hidden="1" x14ac:dyDescent="0.25">
      <c r="A20" s="230">
        <v>4</v>
      </c>
      <c r="B20" s="283" t="s">
        <v>192</v>
      </c>
      <c r="C20" s="283"/>
      <c r="D20" s="283"/>
      <c r="E20" s="283"/>
      <c r="F20" s="283"/>
      <c r="G20" s="283"/>
    </row>
    <row r="21" spans="1:7" hidden="1" x14ac:dyDescent="0.25">
      <c r="A21" s="284" t="s">
        <v>22</v>
      </c>
      <c r="B21" s="284"/>
      <c r="C21" s="284"/>
      <c r="D21" s="234"/>
      <c r="E21" s="235">
        <v>0</v>
      </c>
      <c r="F21" s="235">
        <v>0</v>
      </c>
      <c r="G21" s="236">
        <v>0</v>
      </c>
    </row>
    <row r="22" spans="1:7" hidden="1" x14ac:dyDescent="0.25">
      <c r="A22" s="230">
        <v>5</v>
      </c>
      <c r="B22" s="285" t="s">
        <v>193</v>
      </c>
      <c r="C22" s="286"/>
      <c r="D22" s="286"/>
      <c r="E22" s="286"/>
      <c r="F22" s="286"/>
      <c r="G22" s="287"/>
    </row>
    <row r="23" spans="1:7" ht="25.5" hidden="1" x14ac:dyDescent="0.25">
      <c r="A23" s="231" t="s">
        <v>32</v>
      </c>
      <c r="B23" s="190" t="s">
        <v>3</v>
      </c>
      <c r="C23" s="201" t="s">
        <v>19</v>
      </c>
      <c r="D23" s="231"/>
      <c r="E23" s="232">
        <v>0</v>
      </c>
      <c r="F23" s="232">
        <v>0</v>
      </c>
      <c r="G23" s="232">
        <f>SUM(E23:F23)</f>
        <v>0</v>
      </c>
    </row>
    <row r="24" spans="1:7" hidden="1" x14ac:dyDescent="0.25">
      <c r="A24" s="284" t="s">
        <v>22</v>
      </c>
      <c r="B24" s="284"/>
      <c r="C24" s="284"/>
      <c r="D24" s="234"/>
      <c r="E24" s="235">
        <f>E23</f>
        <v>0</v>
      </c>
      <c r="F24" s="235">
        <f>F23</f>
        <v>0</v>
      </c>
      <c r="G24" s="236">
        <f>SUM(E24:F24)</f>
        <v>0</v>
      </c>
    </row>
    <row r="25" spans="1:7" hidden="1" x14ac:dyDescent="0.25">
      <c r="A25" s="288" t="s">
        <v>1</v>
      </c>
      <c r="B25" s="288"/>
      <c r="C25" s="288"/>
      <c r="D25" s="288"/>
      <c r="E25" s="237">
        <f>E8+E10+E19+E21+E24</f>
        <v>209254.93</v>
      </c>
      <c r="F25" s="237">
        <f>F8+F10++F21+F24+F19</f>
        <v>311577.02</v>
      </c>
      <c r="G25" s="237">
        <f>G8+G10+G19+G21+G24</f>
        <v>520831.94999999995</v>
      </c>
    </row>
    <row r="26" spans="1:7" hidden="1" x14ac:dyDescent="0.25">
      <c r="A26" s="282" t="s">
        <v>33</v>
      </c>
      <c r="B26" s="282"/>
      <c r="C26" s="238"/>
      <c r="D26" s="239"/>
      <c r="E26" s="240"/>
      <c r="F26" s="240"/>
      <c r="G26" s="240"/>
    </row>
    <row r="27" spans="1:7" hidden="1" x14ac:dyDescent="0.25"/>
    <row r="28" spans="1:7" ht="15" hidden="1" customHeight="1" x14ac:dyDescent="0.25">
      <c r="A28" s="297" t="s">
        <v>391</v>
      </c>
      <c r="B28" s="298"/>
      <c r="C28" s="298"/>
      <c r="D28" s="298"/>
      <c r="E28" s="298"/>
      <c r="F28" s="298"/>
      <c r="G28" s="299"/>
    </row>
    <row r="29" spans="1:7" ht="38.25" hidden="1" x14ac:dyDescent="0.25">
      <c r="A29" s="14" t="s">
        <v>27</v>
      </c>
      <c r="B29" s="14" t="s">
        <v>28</v>
      </c>
      <c r="C29" s="14" t="s">
        <v>29</v>
      </c>
      <c r="D29" s="14" t="s">
        <v>2</v>
      </c>
      <c r="E29" s="14" t="s">
        <v>388</v>
      </c>
      <c r="F29" s="14" t="s">
        <v>389</v>
      </c>
      <c r="G29" s="14" t="s">
        <v>390</v>
      </c>
    </row>
    <row r="30" spans="1:7" hidden="1" x14ac:dyDescent="0.25">
      <c r="A30" s="230">
        <v>1</v>
      </c>
      <c r="B30" s="285" t="s">
        <v>190</v>
      </c>
      <c r="C30" s="286"/>
      <c r="D30" s="286"/>
      <c r="E30" s="286"/>
      <c r="F30" s="286"/>
      <c r="G30" s="287"/>
    </row>
    <row r="31" spans="1:7" hidden="1" x14ac:dyDescent="0.25">
      <c r="A31" s="294" t="s">
        <v>22</v>
      </c>
      <c r="B31" s="295"/>
      <c r="C31" s="296"/>
      <c r="D31" s="234"/>
      <c r="E31" s="235">
        <v>0</v>
      </c>
      <c r="F31" s="235">
        <v>0</v>
      </c>
      <c r="G31" s="235">
        <v>0</v>
      </c>
    </row>
    <row r="32" spans="1:7" hidden="1" x14ac:dyDescent="0.25">
      <c r="A32" s="230">
        <v>2</v>
      </c>
      <c r="B32" s="285" t="s">
        <v>191</v>
      </c>
      <c r="C32" s="286"/>
      <c r="D32" s="286"/>
      <c r="E32" s="286"/>
      <c r="F32" s="286"/>
      <c r="G32" s="287"/>
    </row>
    <row r="33" spans="1:7" hidden="1" x14ac:dyDescent="0.25">
      <c r="A33" s="294" t="s">
        <v>22</v>
      </c>
      <c r="B33" s="295"/>
      <c r="C33" s="296"/>
      <c r="D33" s="234"/>
      <c r="E33" s="235">
        <v>0</v>
      </c>
      <c r="F33" s="235">
        <v>0</v>
      </c>
      <c r="G33" s="235">
        <v>0</v>
      </c>
    </row>
    <row r="34" spans="1:7" hidden="1" x14ac:dyDescent="0.25">
      <c r="A34" s="230">
        <v>3</v>
      </c>
      <c r="B34" s="285" t="s">
        <v>187</v>
      </c>
      <c r="C34" s="286"/>
      <c r="D34" s="286"/>
      <c r="E34" s="286"/>
      <c r="F34" s="286"/>
      <c r="G34" s="287"/>
    </row>
    <row r="35" spans="1:7" hidden="1" x14ac:dyDescent="0.25">
      <c r="A35" s="231" t="s">
        <v>4</v>
      </c>
      <c r="B35" s="201" t="s">
        <v>74</v>
      </c>
      <c r="C35" s="201" t="s">
        <v>74</v>
      </c>
      <c r="D35" s="231"/>
      <c r="E35" s="232"/>
      <c r="F35" s="232">
        <f>28953.33+35658.45+168.92+124.83+1411.38+2660.49+144132.85+7197.42+5990.32+97509.22+18036.22+29587.23</f>
        <v>371430.66000000003</v>
      </c>
      <c r="G35" s="233">
        <f t="shared" ref="G35" si="4">SUM(E35:F35)</f>
        <v>371430.66000000003</v>
      </c>
    </row>
    <row r="36" spans="1:7" hidden="1" x14ac:dyDescent="0.25">
      <c r="A36" s="231" t="s">
        <v>5</v>
      </c>
      <c r="B36" s="201" t="s">
        <v>275</v>
      </c>
      <c r="C36" s="244" t="s">
        <v>317</v>
      </c>
      <c r="D36" s="231"/>
      <c r="E36" s="232">
        <v>17156.150000000001</v>
      </c>
      <c r="F36" s="232">
        <v>0</v>
      </c>
      <c r="G36" s="233">
        <f t="shared" ref="G36" si="5">SUM(E36:F36)</f>
        <v>17156.150000000001</v>
      </c>
    </row>
    <row r="37" spans="1:7" s="1" customFormat="1" hidden="1" x14ac:dyDescent="0.25">
      <c r="A37" s="246" t="s">
        <v>6</v>
      </c>
      <c r="B37" s="244" t="s">
        <v>338</v>
      </c>
      <c r="C37" s="244" t="s">
        <v>393</v>
      </c>
      <c r="D37" s="243"/>
      <c r="E37" s="28">
        <v>10752</v>
      </c>
      <c r="F37" s="28">
        <v>0</v>
      </c>
      <c r="G37" s="30">
        <f t="shared" ref="G37" si="6">SUM(E37:F37)</f>
        <v>10752</v>
      </c>
    </row>
    <row r="38" spans="1:7" hidden="1" x14ac:dyDescent="0.25">
      <c r="A38" s="294" t="s">
        <v>22</v>
      </c>
      <c r="B38" s="295"/>
      <c r="C38" s="296"/>
      <c r="D38" s="234"/>
      <c r="E38" s="235">
        <f>SUM(E35:E37)</f>
        <v>27908.15</v>
      </c>
      <c r="F38" s="235">
        <f>SUM(F35:F37)</f>
        <v>371430.66000000003</v>
      </c>
      <c r="G38" s="236">
        <f>SUM(G35:G37)</f>
        <v>399338.81000000006</v>
      </c>
    </row>
    <row r="39" spans="1:7" hidden="1" x14ac:dyDescent="0.25">
      <c r="A39" s="230">
        <v>4</v>
      </c>
      <c r="B39" s="285" t="s">
        <v>192</v>
      </c>
      <c r="C39" s="286"/>
      <c r="D39" s="286"/>
      <c r="E39" s="286"/>
      <c r="F39" s="286"/>
      <c r="G39" s="287"/>
    </row>
    <row r="40" spans="1:7" hidden="1" x14ac:dyDescent="0.25">
      <c r="A40" s="294" t="s">
        <v>22</v>
      </c>
      <c r="B40" s="295"/>
      <c r="C40" s="296"/>
      <c r="D40" s="234"/>
      <c r="E40" s="235">
        <v>0</v>
      </c>
      <c r="F40" s="235">
        <v>0</v>
      </c>
      <c r="G40" s="236">
        <v>0</v>
      </c>
    </row>
    <row r="41" spans="1:7" hidden="1" x14ac:dyDescent="0.25">
      <c r="A41" s="230">
        <v>5</v>
      </c>
      <c r="B41" s="285" t="s">
        <v>193</v>
      </c>
      <c r="C41" s="286"/>
      <c r="D41" s="286"/>
      <c r="E41" s="286"/>
      <c r="F41" s="286"/>
      <c r="G41" s="287"/>
    </row>
    <row r="42" spans="1:7" ht="25.5" hidden="1" x14ac:dyDescent="0.25">
      <c r="A42" s="231" t="s">
        <v>32</v>
      </c>
      <c r="B42" s="190" t="s">
        <v>3</v>
      </c>
      <c r="C42" s="201" t="s">
        <v>19</v>
      </c>
      <c r="D42" s="231"/>
      <c r="E42" s="232"/>
      <c r="F42" s="232">
        <v>0</v>
      </c>
      <c r="G42" s="232">
        <f>SUM(E42:F42)</f>
        <v>0</v>
      </c>
    </row>
    <row r="43" spans="1:7" hidden="1" x14ac:dyDescent="0.25">
      <c r="A43" s="294" t="s">
        <v>22</v>
      </c>
      <c r="B43" s="295"/>
      <c r="C43" s="296"/>
      <c r="D43" s="234"/>
      <c r="E43" s="235">
        <f>E42</f>
        <v>0</v>
      </c>
      <c r="F43" s="235">
        <f>F42</f>
        <v>0</v>
      </c>
      <c r="G43" s="236">
        <f>SUM(E43:F43)</f>
        <v>0</v>
      </c>
    </row>
    <row r="44" spans="1:7" ht="15.75" hidden="1" customHeight="1" x14ac:dyDescent="0.25">
      <c r="A44" s="300" t="s">
        <v>1</v>
      </c>
      <c r="B44" s="301"/>
      <c r="C44" s="301"/>
      <c r="D44" s="302"/>
      <c r="E44" s="237">
        <f>E31+E33+E38+E40+E43</f>
        <v>27908.15</v>
      </c>
      <c r="F44" s="237">
        <f>F31+F33++F40+F43+F38</f>
        <v>371430.66000000003</v>
      </c>
      <c r="G44" s="237">
        <f>G31+G33+G38+G40+G43</f>
        <v>399338.81000000006</v>
      </c>
    </row>
    <row r="45" spans="1:7" ht="15" hidden="1" customHeight="1" x14ac:dyDescent="0.25">
      <c r="A45" s="282" t="s">
        <v>33</v>
      </c>
      <c r="B45" s="282"/>
      <c r="C45" s="238"/>
      <c r="D45" s="239"/>
      <c r="E45" s="240"/>
      <c r="F45" s="240"/>
      <c r="G45" s="240"/>
    </row>
    <row r="46" spans="1:7" ht="15" hidden="1" customHeight="1" x14ac:dyDescent="0.25"/>
    <row r="47" spans="1:7" ht="15" customHeight="1" x14ac:dyDescent="0.25">
      <c r="A47" s="297" t="s">
        <v>392</v>
      </c>
      <c r="B47" s="298"/>
      <c r="C47" s="298"/>
      <c r="D47" s="298"/>
      <c r="E47" s="298"/>
      <c r="F47" s="298"/>
      <c r="G47" s="299"/>
    </row>
    <row r="48" spans="1:7" ht="38.25" customHeight="1" x14ac:dyDescent="0.25">
      <c r="A48" s="14" t="s">
        <v>27</v>
      </c>
      <c r="B48" s="14" t="s">
        <v>28</v>
      </c>
      <c r="C48" s="14" t="s">
        <v>29</v>
      </c>
      <c r="D48" s="14" t="s">
        <v>2</v>
      </c>
      <c r="E48" s="14" t="s">
        <v>388</v>
      </c>
      <c r="F48" s="14" t="s">
        <v>389</v>
      </c>
      <c r="G48" s="14" t="s">
        <v>390</v>
      </c>
    </row>
    <row r="49" spans="1:7" ht="15" customHeight="1" x14ac:dyDescent="0.25">
      <c r="A49" s="230">
        <v>1</v>
      </c>
      <c r="B49" s="285" t="s">
        <v>190</v>
      </c>
      <c r="C49" s="286"/>
      <c r="D49" s="286"/>
      <c r="E49" s="286"/>
      <c r="F49" s="286"/>
      <c r="G49" s="287"/>
    </row>
    <row r="50" spans="1:7" x14ac:dyDescent="0.25">
      <c r="A50" s="284" t="s">
        <v>22</v>
      </c>
      <c r="B50" s="284"/>
      <c r="C50" s="284"/>
      <c r="D50" s="234"/>
      <c r="E50" s="235">
        <v>0</v>
      </c>
      <c r="F50" s="235">
        <v>0</v>
      </c>
      <c r="G50" s="235">
        <v>0</v>
      </c>
    </row>
    <row r="51" spans="1:7" x14ac:dyDescent="0.25">
      <c r="A51" s="230">
        <v>2</v>
      </c>
      <c r="B51" s="283" t="s">
        <v>191</v>
      </c>
      <c r="C51" s="283"/>
      <c r="D51" s="283"/>
      <c r="E51" s="283"/>
      <c r="F51" s="283"/>
      <c r="G51" s="283"/>
    </row>
    <row r="52" spans="1:7" x14ac:dyDescent="0.25">
      <c r="A52" s="284" t="s">
        <v>22</v>
      </c>
      <c r="B52" s="284"/>
      <c r="C52" s="284"/>
      <c r="D52" s="234"/>
      <c r="E52" s="235">
        <v>0</v>
      </c>
      <c r="F52" s="235">
        <v>0</v>
      </c>
      <c r="G52" s="235">
        <v>0</v>
      </c>
    </row>
    <row r="53" spans="1:7" x14ac:dyDescent="0.25">
      <c r="A53" s="230">
        <v>3</v>
      </c>
      <c r="B53" s="283" t="s">
        <v>187</v>
      </c>
      <c r="C53" s="283"/>
      <c r="D53" s="283"/>
      <c r="E53" s="283"/>
      <c r="F53" s="283"/>
      <c r="G53" s="283"/>
    </row>
    <row r="54" spans="1:7" x14ac:dyDescent="0.25">
      <c r="A54" s="231" t="s">
        <v>4</v>
      </c>
      <c r="B54" s="201" t="s">
        <v>74</v>
      </c>
      <c r="C54" s="201" t="s">
        <v>74</v>
      </c>
      <c r="D54" s="231"/>
      <c r="E54" s="232"/>
      <c r="F54" s="232">
        <f>381.51+28944.7+36151.4+11461.16+2829.41+146809.35+5525.64+6115.15+99568.32+19725.83+34822.35</f>
        <v>392334.82</v>
      </c>
      <c r="G54" s="233">
        <f t="shared" ref="G54" si="7">SUM(E54:F54)</f>
        <v>392334.82</v>
      </c>
    </row>
    <row r="55" spans="1:7" x14ac:dyDescent="0.25">
      <c r="A55" s="231" t="s">
        <v>5</v>
      </c>
      <c r="B55" s="201" t="s">
        <v>275</v>
      </c>
      <c r="C55" s="226" t="s">
        <v>317</v>
      </c>
      <c r="D55" s="231"/>
      <c r="E55" s="232"/>
      <c r="F55" s="232">
        <f>185256+19165.44</f>
        <v>204421.44</v>
      </c>
      <c r="G55" s="233">
        <f t="shared" ref="G55" si="8">SUM(E55:F55)</f>
        <v>204421.44</v>
      </c>
    </row>
    <row r="56" spans="1:7" s="1" customFormat="1" x14ac:dyDescent="0.25">
      <c r="A56" s="274" t="s">
        <v>6</v>
      </c>
      <c r="B56" s="272" t="s">
        <v>13</v>
      </c>
      <c r="C56" s="226" t="s">
        <v>324</v>
      </c>
      <c r="D56" s="225"/>
      <c r="E56" s="28"/>
      <c r="F56" s="28">
        <f>1693.91+1451.59</f>
        <v>3145.5</v>
      </c>
      <c r="G56" s="30">
        <f t="shared" ref="G56:G57" si="9">SUM(E56:F56)</f>
        <v>3145.5</v>
      </c>
    </row>
    <row r="57" spans="1:7" s="1" customFormat="1" x14ac:dyDescent="0.25">
      <c r="A57" s="275"/>
      <c r="B57" s="273"/>
      <c r="C57" s="226" t="s">
        <v>318</v>
      </c>
      <c r="D57" s="225"/>
      <c r="E57" s="28"/>
      <c r="F57" s="28">
        <f>1139.25+801.15</f>
        <v>1940.4</v>
      </c>
      <c r="G57" s="30">
        <f t="shared" si="9"/>
        <v>1940.4</v>
      </c>
    </row>
    <row r="58" spans="1:7" s="1" customFormat="1" x14ac:dyDescent="0.25">
      <c r="A58" s="227" t="s">
        <v>18</v>
      </c>
      <c r="B58" s="226" t="s">
        <v>338</v>
      </c>
      <c r="C58" s="226" t="s">
        <v>393</v>
      </c>
      <c r="D58" s="225"/>
      <c r="E58" s="28">
        <v>4485</v>
      </c>
      <c r="F58" s="28">
        <v>0</v>
      </c>
      <c r="G58" s="30">
        <f t="shared" ref="G58" si="10">SUM(E58:F58)</f>
        <v>4485</v>
      </c>
    </row>
    <row r="59" spans="1:7" x14ac:dyDescent="0.25">
      <c r="A59" s="231" t="s">
        <v>18</v>
      </c>
      <c r="B59" s="201" t="s">
        <v>7</v>
      </c>
      <c r="C59" s="201" t="s">
        <v>354</v>
      </c>
      <c r="D59" s="231"/>
      <c r="E59" s="232">
        <f>11070+871.73</f>
        <v>11941.73</v>
      </c>
      <c r="F59" s="232">
        <f>316.99+11070+1188.72</f>
        <v>12575.71</v>
      </c>
      <c r="G59" s="233">
        <f t="shared" ref="G59:G60" si="11">SUM(E59:F59)</f>
        <v>24517.439999999999</v>
      </c>
    </row>
    <row r="60" spans="1:7" x14ac:dyDescent="0.25">
      <c r="A60" s="241" t="s">
        <v>24</v>
      </c>
      <c r="B60" s="242" t="s">
        <v>132</v>
      </c>
      <c r="C60" s="226" t="s">
        <v>374</v>
      </c>
      <c r="D60" s="231"/>
      <c r="E60" s="232"/>
      <c r="F60" s="232">
        <f>19029.34</f>
        <v>19029.34</v>
      </c>
      <c r="G60" s="233">
        <f t="shared" si="11"/>
        <v>19029.34</v>
      </c>
    </row>
    <row r="61" spans="1:7" x14ac:dyDescent="0.25">
      <c r="A61" s="284" t="s">
        <v>22</v>
      </c>
      <c r="B61" s="284"/>
      <c r="C61" s="284"/>
      <c r="D61" s="234"/>
      <c r="E61" s="235">
        <f>SUM(E54:E60)</f>
        <v>16426.73</v>
      </c>
      <c r="F61" s="235">
        <f>SUM(F54:F60)</f>
        <v>633447.21</v>
      </c>
      <c r="G61" s="236">
        <f>SUM(G54:G60)</f>
        <v>649873.93999999994</v>
      </c>
    </row>
    <row r="62" spans="1:7" x14ac:dyDescent="0.25">
      <c r="A62" s="230">
        <v>4</v>
      </c>
      <c r="B62" s="283" t="s">
        <v>192</v>
      </c>
      <c r="C62" s="283"/>
      <c r="D62" s="283"/>
      <c r="E62" s="283"/>
      <c r="F62" s="283"/>
      <c r="G62" s="283"/>
    </row>
    <row r="63" spans="1:7" x14ac:dyDescent="0.25">
      <c r="A63" s="284" t="s">
        <v>22</v>
      </c>
      <c r="B63" s="284"/>
      <c r="C63" s="284"/>
      <c r="D63" s="234"/>
      <c r="E63" s="235">
        <v>0</v>
      </c>
      <c r="F63" s="235">
        <v>0</v>
      </c>
      <c r="G63" s="236">
        <v>0</v>
      </c>
    </row>
    <row r="64" spans="1:7" x14ac:dyDescent="0.25">
      <c r="A64" s="230">
        <v>5</v>
      </c>
      <c r="B64" s="285" t="s">
        <v>193</v>
      </c>
      <c r="C64" s="286"/>
      <c r="D64" s="286"/>
      <c r="E64" s="286"/>
      <c r="F64" s="286"/>
      <c r="G64" s="287"/>
    </row>
    <row r="65" spans="1:7" ht="25.5" x14ac:dyDescent="0.25">
      <c r="A65" s="231" t="s">
        <v>32</v>
      </c>
      <c r="B65" s="190" t="s">
        <v>3</v>
      </c>
      <c r="C65" s="201" t="s">
        <v>19</v>
      </c>
      <c r="D65" s="231"/>
      <c r="E65" s="232"/>
      <c r="F65" s="232">
        <f>97184.28+57172.95+0.22</f>
        <v>154357.44999999998</v>
      </c>
      <c r="G65" s="232">
        <f>SUM(E65:F65)</f>
        <v>154357.44999999998</v>
      </c>
    </row>
    <row r="66" spans="1:7" x14ac:dyDescent="0.25">
      <c r="A66" s="284" t="s">
        <v>22</v>
      </c>
      <c r="B66" s="284"/>
      <c r="C66" s="284"/>
      <c r="D66" s="234"/>
      <c r="E66" s="235">
        <f>E65</f>
        <v>0</v>
      </c>
      <c r="F66" s="235">
        <f>F65</f>
        <v>154357.44999999998</v>
      </c>
      <c r="G66" s="236">
        <f>SUM(E66:F66)</f>
        <v>154357.44999999998</v>
      </c>
    </row>
    <row r="67" spans="1:7" x14ac:dyDescent="0.25">
      <c r="A67" s="288" t="s">
        <v>1</v>
      </c>
      <c r="B67" s="288"/>
      <c r="C67" s="288"/>
      <c r="D67" s="288"/>
      <c r="E67" s="237">
        <f>E50+E52+E61+E63+E66</f>
        <v>16426.73</v>
      </c>
      <c r="F67" s="237">
        <f>F50+F52++F63+F66+F61</f>
        <v>787804.65999999992</v>
      </c>
      <c r="G67" s="237">
        <f>G50+G52+G61+G63+G66</f>
        <v>804231.3899999999</v>
      </c>
    </row>
    <row r="68" spans="1:7" x14ac:dyDescent="0.25">
      <c r="A68" s="282" t="s">
        <v>33</v>
      </c>
      <c r="B68" s="282"/>
      <c r="C68" s="238"/>
      <c r="D68" s="239"/>
      <c r="E68" s="240"/>
      <c r="F68" s="240"/>
      <c r="G68" s="240"/>
    </row>
    <row r="69" spans="1:7" hidden="1" x14ac:dyDescent="0.25"/>
    <row r="70" spans="1:7" hidden="1" x14ac:dyDescent="0.25">
      <c r="A70" s="293" t="s">
        <v>395</v>
      </c>
      <c r="B70" s="293"/>
      <c r="C70" s="293"/>
      <c r="D70" s="293"/>
      <c r="E70" s="293"/>
      <c r="F70" s="293"/>
      <c r="G70" s="293"/>
    </row>
    <row r="71" spans="1:7" ht="38.25" hidden="1" x14ac:dyDescent="0.25">
      <c r="A71" s="14" t="s">
        <v>27</v>
      </c>
      <c r="B71" s="14" t="s">
        <v>28</v>
      </c>
      <c r="C71" s="14" t="s">
        <v>29</v>
      </c>
      <c r="D71" s="14" t="s">
        <v>2</v>
      </c>
      <c r="E71" s="14" t="s">
        <v>388</v>
      </c>
      <c r="F71" s="14" t="s">
        <v>389</v>
      </c>
      <c r="G71" s="14" t="s">
        <v>390</v>
      </c>
    </row>
    <row r="72" spans="1:7" hidden="1" x14ac:dyDescent="0.25">
      <c r="A72" s="230">
        <v>1</v>
      </c>
      <c r="B72" s="283" t="s">
        <v>190</v>
      </c>
      <c r="C72" s="283"/>
      <c r="D72" s="283"/>
      <c r="E72" s="283"/>
      <c r="F72" s="283"/>
      <c r="G72" s="283"/>
    </row>
    <row r="73" spans="1:7" hidden="1" x14ac:dyDescent="0.25">
      <c r="A73" s="284" t="s">
        <v>22</v>
      </c>
      <c r="B73" s="284"/>
      <c r="C73" s="284"/>
      <c r="D73" s="234"/>
      <c r="E73" s="235">
        <v>0</v>
      </c>
      <c r="F73" s="235">
        <v>0</v>
      </c>
      <c r="G73" s="235">
        <v>0</v>
      </c>
    </row>
    <row r="74" spans="1:7" hidden="1" x14ac:dyDescent="0.25">
      <c r="A74" s="230">
        <v>2</v>
      </c>
      <c r="B74" s="283" t="s">
        <v>191</v>
      </c>
      <c r="C74" s="283"/>
      <c r="D74" s="283"/>
      <c r="E74" s="283"/>
      <c r="F74" s="283"/>
      <c r="G74" s="283"/>
    </row>
    <row r="75" spans="1:7" hidden="1" x14ac:dyDescent="0.25">
      <c r="A75" s="284" t="s">
        <v>22</v>
      </c>
      <c r="B75" s="284"/>
      <c r="C75" s="284"/>
      <c r="D75" s="234"/>
      <c r="E75" s="235">
        <v>0</v>
      </c>
      <c r="F75" s="235">
        <v>0</v>
      </c>
      <c r="G75" s="235">
        <v>0</v>
      </c>
    </row>
    <row r="76" spans="1:7" hidden="1" x14ac:dyDescent="0.25">
      <c r="A76" s="230">
        <v>3</v>
      </c>
      <c r="B76" s="283" t="s">
        <v>187</v>
      </c>
      <c r="C76" s="283"/>
      <c r="D76" s="283"/>
      <c r="E76" s="283"/>
      <c r="F76" s="283"/>
      <c r="G76" s="283"/>
    </row>
    <row r="77" spans="1:7" hidden="1" x14ac:dyDescent="0.25">
      <c r="A77" s="231" t="s">
        <v>4</v>
      </c>
      <c r="B77" s="201" t="s">
        <v>74</v>
      </c>
      <c r="C77" s="201" t="s">
        <v>74</v>
      </c>
      <c r="D77" s="231"/>
      <c r="E77" s="232"/>
      <c r="F77" s="232">
        <f>31181.8+153.57+316.73+11877.53+353.2+36151.4+3087.2+157277.87+6134.35+6573.75+106853.74+21196.38+10591.76</f>
        <v>391749.28</v>
      </c>
      <c r="G77" s="233">
        <f t="shared" ref="G77" si="12">SUM(E77:F77)</f>
        <v>391749.28</v>
      </c>
    </row>
    <row r="78" spans="1:7" hidden="1" x14ac:dyDescent="0.25">
      <c r="A78" s="231" t="s">
        <v>5</v>
      </c>
      <c r="B78" s="201" t="s">
        <v>275</v>
      </c>
      <c r="C78" s="244" t="s">
        <v>317</v>
      </c>
      <c r="D78" s="231"/>
      <c r="E78" s="232"/>
      <c r="F78" s="232">
        <f>10510.08+101592</f>
        <v>112102.08</v>
      </c>
      <c r="G78" s="233">
        <f t="shared" ref="G78" si="13">SUM(E78:F78)</f>
        <v>112102.08</v>
      </c>
    </row>
    <row r="79" spans="1:7" hidden="1" x14ac:dyDescent="0.25">
      <c r="A79" s="274" t="s">
        <v>6</v>
      </c>
      <c r="B79" s="272" t="s">
        <v>13</v>
      </c>
      <c r="C79" s="244" t="s">
        <v>324</v>
      </c>
      <c r="D79" s="243"/>
      <c r="E79" s="28"/>
      <c r="F79" s="28" t="s">
        <v>31</v>
      </c>
      <c r="G79" s="30">
        <f t="shared" ref="G79:G80" si="14">SUM(E79:F79)</f>
        <v>0</v>
      </c>
    </row>
    <row r="80" spans="1:7" hidden="1" x14ac:dyDescent="0.25">
      <c r="A80" s="275"/>
      <c r="B80" s="273"/>
      <c r="C80" s="244" t="s">
        <v>318</v>
      </c>
      <c r="D80" s="243"/>
      <c r="E80" s="28"/>
      <c r="F80" s="28" t="s">
        <v>31</v>
      </c>
      <c r="G80" s="30">
        <f t="shared" si="14"/>
        <v>0</v>
      </c>
    </row>
    <row r="81" spans="1:7" hidden="1" x14ac:dyDescent="0.25">
      <c r="A81" s="246" t="s">
        <v>18</v>
      </c>
      <c r="B81" s="244" t="s">
        <v>338</v>
      </c>
      <c r="C81" s="244" t="s">
        <v>393</v>
      </c>
      <c r="D81" s="243"/>
      <c r="E81" s="28">
        <v>39780</v>
      </c>
      <c r="F81" s="28">
        <v>0</v>
      </c>
      <c r="G81" s="30">
        <f t="shared" ref="G81" si="15">SUM(E81:F81)</f>
        <v>39780</v>
      </c>
    </row>
    <row r="82" spans="1:7" hidden="1" x14ac:dyDescent="0.25">
      <c r="A82" s="246" t="s">
        <v>23</v>
      </c>
      <c r="B82" s="201" t="s">
        <v>7</v>
      </c>
      <c r="C82" s="201" t="s">
        <v>354</v>
      </c>
      <c r="D82" s="231"/>
      <c r="E82" s="232"/>
      <c r="F82" s="232">
        <f>11070+1188.72</f>
        <v>12258.72</v>
      </c>
      <c r="G82" s="233">
        <f t="shared" ref="G82:G83" si="16">SUM(E82:F82)</f>
        <v>12258.72</v>
      </c>
    </row>
    <row r="83" spans="1:7" hidden="1" x14ac:dyDescent="0.25">
      <c r="A83" s="246" t="s">
        <v>24</v>
      </c>
      <c r="B83" s="242" t="s">
        <v>132</v>
      </c>
      <c r="C83" s="244" t="s">
        <v>374</v>
      </c>
      <c r="D83" s="231"/>
      <c r="E83" s="232"/>
      <c r="F83" s="232">
        <v>20590.330000000002</v>
      </c>
      <c r="G83" s="233">
        <f t="shared" si="16"/>
        <v>20590.330000000002</v>
      </c>
    </row>
    <row r="84" spans="1:7" hidden="1" x14ac:dyDescent="0.25">
      <c r="A84" s="284" t="s">
        <v>22</v>
      </c>
      <c r="B84" s="284"/>
      <c r="C84" s="284"/>
      <c r="D84" s="234"/>
      <c r="E84" s="235">
        <f>SUM(E77:E83)</f>
        <v>39780</v>
      </c>
      <c r="F84" s="235">
        <f>SUM(F77:F83)</f>
        <v>536700.41</v>
      </c>
      <c r="G84" s="236">
        <f>SUM(G77:G83)</f>
        <v>576480.41</v>
      </c>
    </row>
    <row r="85" spans="1:7" hidden="1" x14ac:dyDescent="0.25">
      <c r="A85" s="230">
        <v>4</v>
      </c>
      <c r="B85" s="283" t="s">
        <v>192</v>
      </c>
      <c r="C85" s="283"/>
      <c r="D85" s="283"/>
      <c r="E85" s="283"/>
      <c r="F85" s="283"/>
      <c r="G85" s="283"/>
    </row>
    <row r="86" spans="1:7" hidden="1" x14ac:dyDescent="0.25">
      <c r="A86" s="284" t="s">
        <v>22</v>
      </c>
      <c r="B86" s="284"/>
      <c r="C86" s="284"/>
      <c r="D86" s="234"/>
      <c r="E86" s="235">
        <v>0</v>
      </c>
      <c r="F86" s="235">
        <v>0</v>
      </c>
      <c r="G86" s="236">
        <v>0</v>
      </c>
    </row>
    <row r="87" spans="1:7" hidden="1" x14ac:dyDescent="0.25">
      <c r="A87" s="230">
        <v>5</v>
      </c>
      <c r="B87" s="285" t="s">
        <v>193</v>
      </c>
      <c r="C87" s="286"/>
      <c r="D87" s="286"/>
      <c r="E87" s="286"/>
      <c r="F87" s="286"/>
      <c r="G87" s="287"/>
    </row>
    <row r="88" spans="1:7" ht="25.5" hidden="1" x14ac:dyDescent="0.25">
      <c r="A88" s="231" t="s">
        <v>32</v>
      </c>
      <c r="B88" s="190" t="s">
        <v>3</v>
      </c>
      <c r="C88" s="201" t="s">
        <v>19</v>
      </c>
      <c r="D88" s="231"/>
      <c r="E88" s="232"/>
      <c r="F88" s="232"/>
      <c r="G88" s="232">
        <f>SUM(E88:F88)</f>
        <v>0</v>
      </c>
    </row>
    <row r="89" spans="1:7" hidden="1" x14ac:dyDescent="0.25">
      <c r="A89" s="284" t="s">
        <v>22</v>
      </c>
      <c r="B89" s="284"/>
      <c r="C89" s="284"/>
      <c r="D89" s="234"/>
      <c r="E89" s="235">
        <f>E88</f>
        <v>0</v>
      </c>
      <c r="F89" s="235">
        <f>F88</f>
        <v>0</v>
      </c>
      <c r="G89" s="236">
        <f>SUM(E89:F89)</f>
        <v>0</v>
      </c>
    </row>
    <row r="90" spans="1:7" hidden="1" x14ac:dyDescent="0.25">
      <c r="A90" s="288" t="s">
        <v>1</v>
      </c>
      <c r="B90" s="288"/>
      <c r="C90" s="288"/>
      <c r="D90" s="288"/>
      <c r="E90" s="237">
        <f>E73+E75+E84+E86+E89</f>
        <v>39780</v>
      </c>
      <c r="F90" s="237">
        <f>F73+F75++F86+F89+F84</f>
        <v>536700.41</v>
      </c>
      <c r="G90" s="237">
        <f>G73+G75+G84+G86+G89</f>
        <v>576480.41</v>
      </c>
    </row>
    <row r="91" spans="1:7" hidden="1" x14ac:dyDescent="0.25">
      <c r="A91" s="282" t="s">
        <v>33</v>
      </c>
      <c r="B91" s="282"/>
      <c r="C91" s="238"/>
      <c r="D91" s="239"/>
      <c r="E91" s="240"/>
      <c r="F91" s="240"/>
      <c r="G91" s="240"/>
    </row>
    <row r="92" spans="1:7" hidden="1" x14ac:dyDescent="0.25"/>
    <row r="93" spans="1:7" hidden="1" x14ac:dyDescent="0.25">
      <c r="A93" s="293" t="s">
        <v>396</v>
      </c>
      <c r="B93" s="293"/>
      <c r="C93" s="293"/>
      <c r="D93" s="293"/>
      <c r="E93" s="293"/>
      <c r="F93" s="293"/>
      <c r="G93" s="293"/>
    </row>
    <row r="94" spans="1:7" ht="38.25" hidden="1" x14ac:dyDescent="0.25">
      <c r="A94" s="14" t="s">
        <v>27</v>
      </c>
      <c r="B94" s="14" t="s">
        <v>28</v>
      </c>
      <c r="C94" s="14" t="s">
        <v>29</v>
      </c>
      <c r="D94" s="14" t="s">
        <v>2</v>
      </c>
      <c r="E94" s="14" t="s">
        <v>388</v>
      </c>
      <c r="F94" s="14" t="s">
        <v>389</v>
      </c>
      <c r="G94" s="14" t="s">
        <v>390</v>
      </c>
    </row>
    <row r="95" spans="1:7" hidden="1" x14ac:dyDescent="0.25">
      <c r="A95" s="230">
        <v>1</v>
      </c>
      <c r="B95" s="283" t="s">
        <v>190</v>
      </c>
      <c r="C95" s="283"/>
      <c r="D95" s="283"/>
      <c r="E95" s="283"/>
      <c r="F95" s="283"/>
      <c r="G95" s="283"/>
    </row>
    <row r="96" spans="1:7" hidden="1" x14ac:dyDescent="0.25">
      <c r="A96" s="284" t="s">
        <v>22</v>
      </c>
      <c r="B96" s="284"/>
      <c r="C96" s="284"/>
      <c r="D96" s="234"/>
      <c r="E96" s="235">
        <v>0</v>
      </c>
      <c r="F96" s="235">
        <v>0</v>
      </c>
      <c r="G96" s="235">
        <v>0</v>
      </c>
    </row>
    <row r="97" spans="1:7" hidden="1" x14ac:dyDescent="0.25">
      <c r="A97" s="230">
        <v>2</v>
      </c>
      <c r="B97" s="283" t="s">
        <v>191</v>
      </c>
      <c r="C97" s="283"/>
      <c r="D97" s="283"/>
      <c r="E97" s="283"/>
      <c r="F97" s="283"/>
      <c r="G97" s="283"/>
    </row>
    <row r="98" spans="1:7" hidden="1" x14ac:dyDescent="0.25">
      <c r="A98" s="284" t="s">
        <v>22</v>
      </c>
      <c r="B98" s="284"/>
      <c r="C98" s="284"/>
      <c r="D98" s="234"/>
      <c r="E98" s="235">
        <v>0</v>
      </c>
      <c r="F98" s="235">
        <v>0</v>
      </c>
      <c r="G98" s="235">
        <v>0</v>
      </c>
    </row>
    <row r="99" spans="1:7" hidden="1" x14ac:dyDescent="0.25">
      <c r="A99" s="230">
        <v>3</v>
      </c>
      <c r="B99" s="283" t="s">
        <v>187</v>
      </c>
      <c r="C99" s="283"/>
      <c r="D99" s="283"/>
      <c r="E99" s="283"/>
      <c r="F99" s="283"/>
      <c r="G99" s="283"/>
    </row>
    <row r="100" spans="1:7" hidden="1" x14ac:dyDescent="0.25">
      <c r="A100" s="231" t="s">
        <v>4</v>
      </c>
      <c r="B100" s="201" t="s">
        <v>74</v>
      </c>
      <c r="C100" s="201" t="s">
        <v>74</v>
      </c>
      <c r="D100" s="231"/>
      <c r="E100" s="232"/>
      <c r="F100" s="232">
        <f>31912.42+38863.03+3087.2+25464.41+21392.28+107605.78+4814.47+5928.28+154106.76</f>
        <v>393174.63</v>
      </c>
      <c r="G100" s="233">
        <f t="shared" ref="G100" si="17">SUM(E100:F100)</f>
        <v>393174.63</v>
      </c>
    </row>
    <row r="101" spans="1:7" hidden="1" x14ac:dyDescent="0.25">
      <c r="A101" s="231" t="s">
        <v>5</v>
      </c>
      <c r="B101" s="201" t="s">
        <v>275</v>
      </c>
      <c r="C101" s="244" t="s">
        <v>317</v>
      </c>
      <c r="D101" s="231"/>
      <c r="E101" s="232"/>
      <c r="F101" s="232">
        <f>14940+1545.6+85725.12+5753.28+98913.6+6638.4</f>
        <v>213516</v>
      </c>
      <c r="G101" s="233">
        <f t="shared" ref="G101" si="18">SUM(E101:F101)</f>
        <v>213516</v>
      </c>
    </row>
    <row r="102" spans="1:7" hidden="1" x14ac:dyDescent="0.25">
      <c r="A102" s="274" t="s">
        <v>6</v>
      </c>
      <c r="B102" s="272" t="s">
        <v>13</v>
      </c>
      <c r="C102" s="244" t="s">
        <v>324</v>
      </c>
      <c r="D102" s="243"/>
      <c r="E102" s="28"/>
      <c r="F102" s="28" t="s">
        <v>31</v>
      </c>
      <c r="G102" s="30">
        <f t="shared" ref="G102:G105" si="19">SUM(E102:F102)</f>
        <v>0</v>
      </c>
    </row>
    <row r="103" spans="1:7" hidden="1" x14ac:dyDescent="0.25">
      <c r="A103" s="275"/>
      <c r="B103" s="273"/>
      <c r="C103" s="244" t="s">
        <v>318</v>
      </c>
      <c r="D103" s="243"/>
      <c r="E103" s="28"/>
      <c r="F103" s="28" t="s">
        <v>31</v>
      </c>
      <c r="G103" s="30">
        <f t="shared" si="19"/>
        <v>0</v>
      </c>
    </row>
    <row r="104" spans="1:7" hidden="1" x14ac:dyDescent="0.25">
      <c r="A104" s="231" t="s">
        <v>18</v>
      </c>
      <c r="B104" s="201" t="s">
        <v>7</v>
      </c>
      <c r="C104" s="201" t="s">
        <v>354</v>
      </c>
      <c r="D104" s="231"/>
      <c r="E104" s="232"/>
      <c r="F104" s="232"/>
      <c r="G104" s="233">
        <f t="shared" si="19"/>
        <v>0</v>
      </c>
    </row>
    <row r="105" spans="1:7" hidden="1" x14ac:dyDescent="0.25">
      <c r="A105" s="241" t="s">
        <v>24</v>
      </c>
      <c r="B105" s="242" t="s">
        <v>132</v>
      </c>
      <c r="C105" s="244" t="s">
        <v>374</v>
      </c>
      <c r="D105" s="231"/>
      <c r="E105" s="232"/>
      <c r="F105" s="232">
        <v>20739</v>
      </c>
      <c r="G105" s="233">
        <f t="shared" si="19"/>
        <v>20739</v>
      </c>
    </row>
    <row r="106" spans="1:7" hidden="1" x14ac:dyDescent="0.25">
      <c r="A106" s="284" t="s">
        <v>22</v>
      </c>
      <c r="B106" s="284"/>
      <c r="C106" s="284"/>
      <c r="D106" s="234"/>
      <c r="E106" s="235">
        <f>SUM(E100:E105)</f>
        <v>0</v>
      </c>
      <c r="F106" s="235">
        <f>SUM(F100:F105)</f>
        <v>627429.63</v>
      </c>
      <c r="G106" s="236">
        <f>SUM(G100:G105)</f>
        <v>627429.63</v>
      </c>
    </row>
    <row r="107" spans="1:7" hidden="1" x14ac:dyDescent="0.25">
      <c r="A107" s="230">
        <v>4</v>
      </c>
      <c r="B107" s="283" t="s">
        <v>192</v>
      </c>
      <c r="C107" s="283"/>
      <c r="D107" s="283"/>
      <c r="E107" s="283"/>
      <c r="F107" s="283"/>
      <c r="G107" s="283"/>
    </row>
    <row r="108" spans="1:7" hidden="1" x14ac:dyDescent="0.25">
      <c r="A108" s="284" t="s">
        <v>22</v>
      </c>
      <c r="B108" s="284"/>
      <c r="C108" s="284"/>
      <c r="D108" s="234"/>
      <c r="E108" s="235">
        <v>0</v>
      </c>
      <c r="F108" s="235">
        <v>0</v>
      </c>
      <c r="G108" s="236">
        <v>0</v>
      </c>
    </row>
    <row r="109" spans="1:7" hidden="1" x14ac:dyDescent="0.25">
      <c r="A109" s="230">
        <v>5</v>
      </c>
      <c r="B109" s="285" t="s">
        <v>193</v>
      </c>
      <c r="C109" s="286"/>
      <c r="D109" s="286"/>
      <c r="E109" s="286"/>
      <c r="F109" s="286"/>
      <c r="G109" s="287"/>
    </row>
    <row r="110" spans="1:7" ht="25.5" hidden="1" x14ac:dyDescent="0.25">
      <c r="A110" s="231" t="s">
        <v>32</v>
      </c>
      <c r="B110" s="190" t="s">
        <v>3</v>
      </c>
      <c r="C110" s="201" t="s">
        <v>19</v>
      </c>
      <c r="D110" s="231"/>
      <c r="E110" s="232"/>
      <c r="F110" s="232">
        <v>118661.85</v>
      </c>
      <c r="G110" s="232">
        <f>SUM(E110:F110)</f>
        <v>118661.85</v>
      </c>
    </row>
    <row r="111" spans="1:7" hidden="1" x14ac:dyDescent="0.25">
      <c r="A111" s="284" t="s">
        <v>22</v>
      </c>
      <c r="B111" s="284"/>
      <c r="C111" s="284"/>
      <c r="D111" s="234"/>
      <c r="E111" s="235">
        <f>E110</f>
        <v>0</v>
      </c>
      <c r="F111" s="235">
        <f>F110</f>
        <v>118661.85</v>
      </c>
      <c r="G111" s="236">
        <f>SUM(E111:F111)</f>
        <v>118661.85</v>
      </c>
    </row>
    <row r="112" spans="1:7" hidden="1" x14ac:dyDescent="0.25">
      <c r="A112" s="288" t="s">
        <v>1</v>
      </c>
      <c r="B112" s="288"/>
      <c r="C112" s="288"/>
      <c r="D112" s="288"/>
      <c r="E112" s="237">
        <f>E96+E98+E106+E108+E111</f>
        <v>0</v>
      </c>
      <c r="F112" s="237">
        <f>F96+F98++F108+F111+F106</f>
        <v>746091.48</v>
      </c>
      <c r="G112" s="237">
        <f>G96+G98+G106+G108+G111</f>
        <v>746091.48</v>
      </c>
    </row>
    <row r="113" spans="1:7" hidden="1" x14ac:dyDescent="0.25">
      <c r="A113" s="282" t="s">
        <v>33</v>
      </c>
      <c r="B113" s="282"/>
      <c r="C113" s="238"/>
      <c r="D113" s="239"/>
      <c r="E113" s="240"/>
      <c r="F113" s="240"/>
      <c r="G113" s="240"/>
    </row>
    <row r="114" spans="1:7" hidden="1" x14ac:dyDescent="0.25"/>
    <row r="115" spans="1:7" hidden="1" x14ac:dyDescent="0.25">
      <c r="A115" s="293" t="s">
        <v>397</v>
      </c>
      <c r="B115" s="293"/>
      <c r="C115" s="293"/>
      <c r="D115" s="293"/>
      <c r="E115" s="293"/>
      <c r="F115" s="293"/>
      <c r="G115" s="293"/>
    </row>
    <row r="116" spans="1:7" ht="38.25" hidden="1" x14ac:dyDescent="0.25">
      <c r="A116" s="14" t="s">
        <v>27</v>
      </c>
      <c r="B116" s="14" t="s">
        <v>28</v>
      </c>
      <c r="C116" s="14" t="s">
        <v>29</v>
      </c>
      <c r="D116" s="14" t="s">
        <v>2</v>
      </c>
      <c r="E116" s="14" t="s">
        <v>388</v>
      </c>
      <c r="F116" s="14" t="s">
        <v>389</v>
      </c>
      <c r="G116" s="14" t="s">
        <v>390</v>
      </c>
    </row>
    <row r="117" spans="1:7" hidden="1" x14ac:dyDescent="0.25">
      <c r="A117" s="230">
        <v>1</v>
      </c>
      <c r="B117" s="283" t="s">
        <v>190</v>
      </c>
      <c r="C117" s="283"/>
      <c r="D117" s="283"/>
      <c r="E117" s="283"/>
      <c r="F117" s="283"/>
      <c r="G117" s="283"/>
    </row>
    <row r="118" spans="1:7" hidden="1" x14ac:dyDescent="0.25">
      <c r="A118" s="284" t="s">
        <v>22</v>
      </c>
      <c r="B118" s="284"/>
      <c r="C118" s="284"/>
      <c r="D118" s="234"/>
      <c r="E118" s="235">
        <v>0</v>
      </c>
      <c r="F118" s="235">
        <v>0</v>
      </c>
      <c r="G118" s="235">
        <v>0</v>
      </c>
    </row>
    <row r="119" spans="1:7" hidden="1" x14ac:dyDescent="0.25">
      <c r="A119" s="230">
        <v>2</v>
      </c>
      <c r="B119" s="283" t="s">
        <v>191</v>
      </c>
      <c r="C119" s="283"/>
      <c r="D119" s="283"/>
      <c r="E119" s="283"/>
      <c r="F119" s="283"/>
      <c r="G119" s="283"/>
    </row>
    <row r="120" spans="1:7" hidden="1" x14ac:dyDescent="0.25">
      <c r="A120" s="284" t="s">
        <v>22</v>
      </c>
      <c r="B120" s="284"/>
      <c r="C120" s="284"/>
      <c r="D120" s="234"/>
      <c r="E120" s="235">
        <v>0</v>
      </c>
      <c r="F120" s="235">
        <v>0</v>
      </c>
      <c r="G120" s="235">
        <v>0</v>
      </c>
    </row>
    <row r="121" spans="1:7" hidden="1" x14ac:dyDescent="0.25">
      <c r="A121" s="230">
        <v>3</v>
      </c>
      <c r="B121" s="283" t="s">
        <v>187</v>
      </c>
      <c r="C121" s="283"/>
      <c r="D121" s="283"/>
      <c r="E121" s="283"/>
      <c r="F121" s="283"/>
      <c r="G121" s="283"/>
    </row>
    <row r="122" spans="1:7" hidden="1" x14ac:dyDescent="0.25">
      <c r="A122" s="231" t="s">
        <v>4</v>
      </c>
      <c r="B122" s="201" t="s">
        <v>74</v>
      </c>
      <c r="C122" s="201" t="s">
        <v>74</v>
      </c>
      <c r="D122" s="231"/>
      <c r="E122" s="232"/>
      <c r="F122" s="232">
        <f>4968+88.32+176.64+31750.93+37242.11+132.48+278.22+3041.8+46263.09+21148.97+105673.48+4779.2+43623.36+151523.36</f>
        <v>450689.95999999996</v>
      </c>
      <c r="G122" s="233">
        <f t="shared" ref="G122" si="20">SUM(E122:F122)</f>
        <v>450689.95999999996</v>
      </c>
    </row>
    <row r="123" spans="1:7" hidden="1" x14ac:dyDescent="0.25">
      <c r="A123" s="231" t="s">
        <v>5</v>
      </c>
      <c r="B123" s="201" t="s">
        <v>275</v>
      </c>
      <c r="C123" s="244" t="s">
        <v>317</v>
      </c>
      <c r="D123" s="231"/>
      <c r="E123" s="232"/>
      <c r="F123" s="232">
        <f>6859.68+102210.72</f>
        <v>109070.39999999999</v>
      </c>
      <c r="G123" s="233">
        <f t="shared" ref="G123" si="21">SUM(E123:F123)</f>
        <v>109070.39999999999</v>
      </c>
    </row>
    <row r="124" spans="1:7" hidden="1" x14ac:dyDescent="0.25">
      <c r="A124" s="274" t="s">
        <v>6</v>
      </c>
      <c r="B124" s="272" t="s">
        <v>13</v>
      </c>
      <c r="C124" s="244" t="s">
        <v>324</v>
      </c>
      <c r="D124" s="243"/>
      <c r="E124" s="28"/>
      <c r="F124" s="28" t="s">
        <v>31</v>
      </c>
      <c r="G124" s="30">
        <f t="shared" ref="G124:G125" si="22">SUM(E124:F124)</f>
        <v>0</v>
      </c>
    </row>
    <row r="125" spans="1:7" hidden="1" x14ac:dyDescent="0.25">
      <c r="A125" s="275"/>
      <c r="B125" s="273"/>
      <c r="C125" s="244" t="s">
        <v>318</v>
      </c>
      <c r="D125" s="243"/>
      <c r="E125" s="28"/>
      <c r="F125" s="28" t="s">
        <v>31</v>
      </c>
      <c r="G125" s="30">
        <f t="shared" si="22"/>
        <v>0</v>
      </c>
    </row>
    <row r="126" spans="1:7" hidden="1" x14ac:dyDescent="0.25">
      <c r="A126" s="246" t="s">
        <v>18</v>
      </c>
      <c r="B126" s="244" t="s">
        <v>338</v>
      </c>
      <c r="C126" s="244" t="s">
        <v>393</v>
      </c>
      <c r="D126" s="243"/>
      <c r="E126" s="28">
        <v>53352</v>
      </c>
      <c r="F126" s="28">
        <v>0</v>
      </c>
      <c r="G126" s="30">
        <f>SUM(E126:F126)</f>
        <v>53352</v>
      </c>
    </row>
    <row r="127" spans="1:7" hidden="1" x14ac:dyDescent="0.25">
      <c r="A127" s="246" t="s">
        <v>23</v>
      </c>
      <c r="B127" s="201" t="s">
        <v>7</v>
      </c>
      <c r="C127" s="201" t="s">
        <v>354</v>
      </c>
      <c r="D127" s="231"/>
      <c r="E127" s="232"/>
      <c r="F127" s="232"/>
      <c r="G127" s="233">
        <f t="shared" ref="G127:G128" si="23">SUM(E127:F127)</f>
        <v>0</v>
      </c>
    </row>
    <row r="128" spans="1:7" hidden="1" x14ac:dyDescent="0.25">
      <c r="A128" s="246" t="s">
        <v>24</v>
      </c>
      <c r="B128" s="242" t="s">
        <v>132</v>
      </c>
      <c r="C128" s="244" t="s">
        <v>374</v>
      </c>
      <c r="D128" s="231"/>
      <c r="E128" s="232"/>
      <c r="F128" s="232">
        <v>21110.67</v>
      </c>
      <c r="G128" s="233">
        <f t="shared" si="23"/>
        <v>21110.67</v>
      </c>
    </row>
    <row r="129" spans="1:7" hidden="1" x14ac:dyDescent="0.25">
      <c r="A129" s="284" t="s">
        <v>22</v>
      </c>
      <c r="B129" s="284"/>
      <c r="C129" s="284"/>
      <c r="D129" s="234"/>
      <c r="E129" s="235">
        <f>SUM(E122:E128)</f>
        <v>53352</v>
      </c>
      <c r="F129" s="235">
        <f>SUM(F122:F128)</f>
        <v>580871.03</v>
      </c>
      <c r="G129" s="236">
        <f>SUM(G122:G128)</f>
        <v>634223.03</v>
      </c>
    </row>
    <row r="130" spans="1:7" hidden="1" x14ac:dyDescent="0.25">
      <c r="A130" s="230">
        <v>4</v>
      </c>
      <c r="B130" s="283" t="s">
        <v>192</v>
      </c>
      <c r="C130" s="283"/>
      <c r="D130" s="283"/>
      <c r="E130" s="283"/>
      <c r="F130" s="283"/>
      <c r="G130" s="283"/>
    </row>
    <row r="131" spans="1:7" hidden="1" x14ac:dyDescent="0.25">
      <c r="A131" s="284" t="s">
        <v>22</v>
      </c>
      <c r="B131" s="284"/>
      <c r="C131" s="284"/>
      <c r="D131" s="234"/>
      <c r="E131" s="235">
        <v>0</v>
      </c>
      <c r="F131" s="235">
        <v>0</v>
      </c>
      <c r="G131" s="236">
        <v>0</v>
      </c>
    </row>
    <row r="132" spans="1:7" hidden="1" x14ac:dyDescent="0.25">
      <c r="A132" s="230">
        <v>5</v>
      </c>
      <c r="B132" s="285" t="s">
        <v>193</v>
      </c>
      <c r="C132" s="286"/>
      <c r="D132" s="286"/>
      <c r="E132" s="286"/>
      <c r="F132" s="286"/>
      <c r="G132" s="287"/>
    </row>
    <row r="133" spans="1:7" ht="25.5" hidden="1" x14ac:dyDescent="0.25">
      <c r="A133" s="231" t="s">
        <v>32</v>
      </c>
      <c r="B133" s="190" t="s">
        <v>3</v>
      </c>
      <c r="C133" s="201" t="s">
        <v>19</v>
      </c>
      <c r="D133" s="231"/>
      <c r="E133" s="232"/>
      <c r="F133" s="232">
        <v>54508.3</v>
      </c>
      <c r="G133" s="232">
        <f>SUM(E133:F133)</f>
        <v>54508.3</v>
      </c>
    </row>
    <row r="134" spans="1:7" hidden="1" x14ac:dyDescent="0.25">
      <c r="A134" s="284" t="s">
        <v>22</v>
      </c>
      <c r="B134" s="284"/>
      <c r="C134" s="284"/>
      <c r="D134" s="234"/>
      <c r="E134" s="235">
        <f>E133</f>
        <v>0</v>
      </c>
      <c r="F134" s="235">
        <f>F133</f>
        <v>54508.3</v>
      </c>
      <c r="G134" s="236">
        <f>SUM(E134:F134)</f>
        <v>54508.3</v>
      </c>
    </row>
    <row r="135" spans="1:7" hidden="1" x14ac:dyDescent="0.25">
      <c r="A135" s="288" t="s">
        <v>1</v>
      </c>
      <c r="B135" s="288"/>
      <c r="C135" s="288"/>
      <c r="D135" s="288"/>
      <c r="E135" s="237">
        <f>E118+E120+E129+E131+E134</f>
        <v>53352</v>
      </c>
      <c r="F135" s="237">
        <f>F118+F120++F131+F134+F129</f>
        <v>635379.33000000007</v>
      </c>
      <c r="G135" s="237">
        <f>G118+G120+G129+G131+G134</f>
        <v>688731.33000000007</v>
      </c>
    </row>
    <row r="136" spans="1:7" hidden="1" x14ac:dyDescent="0.25">
      <c r="A136" s="282" t="s">
        <v>33</v>
      </c>
      <c r="B136" s="282"/>
      <c r="C136" s="238"/>
      <c r="D136" s="239"/>
      <c r="E136" s="240"/>
      <c r="F136" s="240"/>
      <c r="G136" s="240"/>
    </row>
    <row r="137" spans="1:7" hidden="1" x14ac:dyDescent="0.25"/>
    <row r="138" spans="1:7" hidden="1" x14ac:dyDescent="0.25">
      <c r="A138" s="293" t="s">
        <v>398</v>
      </c>
      <c r="B138" s="293"/>
      <c r="C138" s="293"/>
      <c r="D138" s="293"/>
      <c r="E138" s="293"/>
      <c r="F138" s="293"/>
      <c r="G138" s="293"/>
    </row>
    <row r="139" spans="1:7" ht="38.25" hidden="1" x14ac:dyDescent="0.25">
      <c r="A139" s="14" t="s">
        <v>27</v>
      </c>
      <c r="B139" s="14" t="s">
        <v>28</v>
      </c>
      <c r="C139" s="14" t="s">
        <v>29</v>
      </c>
      <c r="D139" s="14" t="s">
        <v>2</v>
      </c>
      <c r="E139" s="14" t="s">
        <v>388</v>
      </c>
      <c r="F139" s="14" t="s">
        <v>389</v>
      </c>
      <c r="G139" s="14" t="s">
        <v>390</v>
      </c>
    </row>
    <row r="140" spans="1:7" hidden="1" x14ac:dyDescent="0.25">
      <c r="A140" s="230">
        <v>1</v>
      </c>
      <c r="B140" s="283" t="s">
        <v>190</v>
      </c>
      <c r="C140" s="283"/>
      <c r="D140" s="283"/>
      <c r="E140" s="283"/>
      <c r="F140" s="283"/>
      <c r="G140" s="283"/>
    </row>
    <row r="141" spans="1:7" hidden="1" x14ac:dyDescent="0.25">
      <c r="A141" s="284" t="s">
        <v>22</v>
      </c>
      <c r="B141" s="284"/>
      <c r="C141" s="284"/>
      <c r="D141" s="234"/>
      <c r="E141" s="235">
        <v>0</v>
      </c>
      <c r="F141" s="235">
        <v>0</v>
      </c>
      <c r="G141" s="235">
        <v>0</v>
      </c>
    </row>
    <row r="142" spans="1:7" hidden="1" x14ac:dyDescent="0.25">
      <c r="A142" s="230">
        <v>2</v>
      </c>
      <c r="B142" s="283" t="s">
        <v>191</v>
      </c>
      <c r="C142" s="283"/>
      <c r="D142" s="283"/>
      <c r="E142" s="283"/>
      <c r="F142" s="283"/>
      <c r="G142" s="283"/>
    </row>
    <row r="143" spans="1:7" hidden="1" x14ac:dyDescent="0.25">
      <c r="A143" s="50" t="s">
        <v>218</v>
      </c>
      <c r="B143" s="52" t="s">
        <v>378</v>
      </c>
      <c r="C143" s="244" t="s">
        <v>379</v>
      </c>
      <c r="D143" s="243"/>
      <c r="E143" s="28">
        <v>29893.599999999999</v>
      </c>
      <c r="F143" s="28">
        <v>0</v>
      </c>
      <c r="G143" s="30">
        <f>SUM(E143:F143)</f>
        <v>29893.599999999999</v>
      </c>
    </row>
    <row r="144" spans="1:7" hidden="1" x14ac:dyDescent="0.25">
      <c r="A144" s="284" t="s">
        <v>22</v>
      </c>
      <c r="B144" s="284"/>
      <c r="C144" s="284"/>
      <c r="D144" s="234"/>
      <c r="E144" s="235">
        <f>SUM(E143)</f>
        <v>29893.599999999999</v>
      </c>
      <c r="F144" s="235">
        <f>SUM(F143)</f>
        <v>0</v>
      </c>
      <c r="G144" s="235">
        <f>SUM(E144:F144)</f>
        <v>29893.599999999999</v>
      </c>
    </row>
    <row r="145" spans="1:7" hidden="1" x14ac:dyDescent="0.25">
      <c r="A145" s="230">
        <v>3</v>
      </c>
      <c r="B145" s="283" t="s">
        <v>187</v>
      </c>
      <c r="C145" s="283"/>
      <c r="D145" s="283"/>
      <c r="E145" s="283"/>
      <c r="F145" s="283"/>
      <c r="G145" s="283"/>
    </row>
    <row r="146" spans="1:7" hidden="1" x14ac:dyDescent="0.25">
      <c r="A146" s="231" t="s">
        <v>4</v>
      </c>
      <c r="B146" s="201" t="s">
        <v>74</v>
      </c>
      <c r="C146" s="201" t="s">
        <v>74</v>
      </c>
      <c r="D146" s="231"/>
      <c r="E146" s="232"/>
      <c r="F146" s="232">
        <f>1711.2+217.92+6160.36+31331.55+1335.45+102.43+37772.04+612.98+856.82+3041.8+150943.24+6413.25+4881.63+107240.55+21312.48+11517.02</f>
        <v>385450.72</v>
      </c>
      <c r="G146" s="233">
        <f t="shared" ref="G146" si="24">SUM(E146:F146)</f>
        <v>385450.72</v>
      </c>
    </row>
    <row r="147" spans="1:7" hidden="1" x14ac:dyDescent="0.25">
      <c r="A147" s="231" t="s">
        <v>5</v>
      </c>
      <c r="B147" s="201" t="s">
        <v>275</v>
      </c>
      <c r="C147" s="244" t="s">
        <v>317</v>
      </c>
      <c r="D147" s="231"/>
      <c r="E147" s="232"/>
      <c r="F147" s="232"/>
      <c r="G147" s="233">
        <f t="shared" ref="G147" si="25">SUM(E147:F147)</f>
        <v>0</v>
      </c>
    </row>
    <row r="148" spans="1:7" hidden="1" x14ac:dyDescent="0.25">
      <c r="A148" s="274" t="s">
        <v>6</v>
      </c>
      <c r="B148" s="272" t="s">
        <v>13</v>
      </c>
      <c r="C148" s="244" t="s">
        <v>324</v>
      </c>
      <c r="D148" s="243"/>
      <c r="E148" s="28"/>
      <c r="F148" s="28">
        <f>1901.28+1957.2+2553.68+2094.67</f>
        <v>8506.83</v>
      </c>
      <c r="G148" s="30">
        <f t="shared" ref="G148:G149" si="26">SUM(E148:F148)</f>
        <v>8506.83</v>
      </c>
    </row>
    <row r="149" spans="1:7" hidden="1" x14ac:dyDescent="0.25">
      <c r="A149" s="275"/>
      <c r="B149" s="273"/>
      <c r="C149" s="244" t="s">
        <v>318</v>
      </c>
      <c r="D149" s="243"/>
      <c r="E149" s="28"/>
      <c r="F149" s="28">
        <f>1251.95+1215.2+1477.35+1330.35</f>
        <v>5274.85</v>
      </c>
      <c r="G149" s="30">
        <f t="shared" si="26"/>
        <v>5274.85</v>
      </c>
    </row>
    <row r="150" spans="1:7" hidden="1" x14ac:dyDescent="0.25">
      <c r="A150" s="231" t="s">
        <v>18</v>
      </c>
      <c r="B150" s="201" t="s">
        <v>7</v>
      </c>
      <c r="C150" s="201" t="s">
        <v>354</v>
      </c>
      <c r="D150" s="231"/>
      <c r="E150" s="232"/>
      <c r="F150" s="232">
        <f>192.89+1446.66+11070+1912.05+12982.05+446.15+9952.9+2583</f>
        <v>40585.699999999997</v>
      </c>
      <c r="G150" s="233">
        <f t="shared" ref="G150:G151" si="27">SUM(E150:F150)</f>
        <v>40585.699999999997</v>
      </c>
    </row>
    <row r="151" spans="1:7" hidden="1" x14ac:dyDescent="0.25">
      <c r="A151" s="241" t="s">
        <v>24</v>
      </c>
      <c r="B151" s="242" t="s">
        <v>132</v>
      </c>
      <c r="C151" s="244" t="s">
        <v>374</v>
      </c>
      <c r="D151" s="231"/>
      <c r="E151" s="232"/>
      <c r="F151" s="232">
        <f>3609.19+23589</f>
        <v>27198.19</v>
      </c>
      <c r="G151" s="233">
        <f t="shared" si="27"/>
        <v>27198.19</v>
      </c>
    </row>
    <row r="152" spans="1:7" hidden="1" x14ac:dyDescent="0.25">
      <c r="A152" s="284" t="s">
        <v>22</v>
      </c>
      <c r="B152" s="284"/>
      <c r="C152" s="284"/>
      <c r="D152" s="234"/>
      <c r="E152" s="235">
        <f>SUM(E146:E151)</f>
        <v>0</v>
      </c>
      <c r="F152" s="235">
        <f>SUM(F146:F151)</f>
        <v>467016.29</v>
      </c>
      <c r="G152" s="236">
        <f>SUM(G146:G151)</f>
        <v>467016.29</v>
      </c>
    </row>
    <row r="153" spans="1:7" hidden="1" x14ac:dyDescent="0.25">
      <c r="A153" s="230">
        <v>4</v>
      </c>
      <c r="B153" s="283" t="s">
        <v>192</v>
      </c>
      <c r="C153" s="283"/>
      <c r="D153" s="283"/>
      <c r="E153" s="283"/>
      <c r="F153" s="283"/>
      <c r="G153" s="283"/>
    </row>
    <row r="154" spans="1:7" hidden="1" x14ac:dyDescent="0.25">
      <c r="A154" s="284" t="s">
        <v>22</v>
      </c>
      <c r="B154" s="284"/>
      <c r="C154" s="284"/>
      <c r="D154" s="234"/>
      <c r="E154" s="235">
        <v>0</v>
      </c>
      <c r="F154" s="235">
        <v>0</v>
      </c>
      <c r="G154" s="236">
        <v>0</v>
      </c>
    </row>
    <row r="155" spans="1:7" hidden="1" x14ac:dyDescent="0.25">
      <c r="A155" s="230">
        <v>5</v>
      </c>
      <c r="B155" s="285" t="s">
        <v>193</v>
      </c>
      <c r="C155" s="286"/>
      <c r="D155" s="286"/>
      <c r="E155" s="286"/>
      <c r="F155" s="286"/>
      <c r="G155" s="287"/>
    </row>
    <row r="156" spans="1:7" ht="25.5" hidden="1" x14ac:dyDescent="0.25">
      <c r="A156" s="231" t="s">
        <v>32</v>
      </c>
      <c r="B156" s="190" t="s">
        <v>3</v>
      </c>
      <c r="C156" s="201" t="s">
        <v>19</v>
      </c>
      <c r="D156" s="231"/>
      <c r="E156" s="232"/>
      <c r="F156" s="232"/>
      <c r="G156" s="232">
        <f>SUM(E156:F156)</f>
        <v>0</v>
      </c>
    </row>
    <row r="157" spans="1:7" hidden="1" x14ac:dyDescent="0.25">
      <c r="A157" s="284" t="s">
        <v>22</v>
      </c>
      <c r="B157" s="284"/>
      <c r="C157" s="284"/>
      <c r="D157" s="234"/>
      <c r="E157" s="235">
        <f>E156</f>
        <v>0</v>
      </c>
      <c r="F157" s="235">
        <f>F156</f>
        <v>0</v>
      </c>
      <c r="G157" s="236">
        <f>SUM(E157:F157)</f>
        <v>0</v>
      </c>
    </row>
    <row r="158" spans="1:7" hidden="1" x14ac:dyDescent="0.25">
      <c r="A158" s="288" t="s">
        <v>1</v>
      </c>
      <c r="B158" s="288"/>
      <c r="C158" s="288"/>
      <c r="D158" s="288"/>
      <c r="E158" s="237">
        <f>E141+E144+E152+E154+E157</f>
        <v>29893.599999999999</v>
      </c>
      <c r="F158" s="237">
        <f>F141+F144++F154+F157+F152</f>
        <v>467016.29</v>
      </c>
      <c r="G158" s="237">
        <f>G141+G144+G152+G154+G157</f>
        <v>496909.88999999996</v>
      </c>
    </row>
    <row r="159" spans="1:7" hidden="1" x14ac:dyDescent="0.25">
      <c r="A159" s="282" t="s">
        <v>33</v>
      </c>
      <c r="B159" s="282"/>
      <c r="C159" s="238"/>
      <c r="D159" s="239"/>
      <c r="E159" s="240"/>
      <c r="F159" s="240"/>
      <c r="G159" s="240"/>
    </row>
    <row r="160" spans="1:7" hidden="1" x14ac:dyDescent="0.25"/>
    <row r="161" spans="1:7" hidden="1" x14ac:dyDescent="0.25">
      <c r="A161" s="293" t="s">
        <v>399</v>
      </c>
      <c r="B161" s="293"/>
      <c r="C161" s="293"/>
      <c r="D161" s="293"/>
      <c r="E161" s="293"/>
      <c r="F161" s="293"/>
      <c r="G161" s="293"/>
    </row>
    <row r="162" spans="1:7" ht="38.25" hidden="1" x14ac:dyDescent="0.25">
      <c r="A162" s="14" t="s">
        <v>27</v>
      </c>
      <c r="B162" s="14" t="s">
        <v>28</v>
      </c>
      <c r="C162" s="14" t="s">
        <v>29</v>
      </c>
      <c r="D162" s="14" t="s">
        <v>2</v>
      </c>
      <c r="E162" s="14" t="s">
        <v>388</v>
      </c>
      <c r="F162" s="14" t="s">
        <v>389</v>
      </c>
      <c r="G162" s="14" t="s">
        <v>390</v>
      </c>
    </row>
    <row r="163" spans="1:7" hidden="1" x14ac:dyDescent="0.25">
      <c r="A163" s="230">
        <v>1</v>
      </c>
      <c r="B163" s="283" t="s">
        <v>190</v>
      </c>
      <c r="C163" s="283"/>
      <c r="D163" s="283"/>
      <c r="E163" s="283"/>
      <c r="F163" s="283"/>
      <c r="G163" s="283"/>
    </row>
    <row r="164" spans="1:7" hidden="1" x14ac:dyDescent="0.25">
      <c r="A164" s="247" t="s">
        <v>48</v>
      </c>
      <c r="B164" s="220" t="s">
        <v>400</v>
      </c>
      <c r="C164" s="220" t="s">
        <v>401</v>
      </c>
      <c r="D164" s="248"/>
      <c r="E164" s="248"/>
      <c r="F164" s="249">
        <v>35522.5</v>
      </c>
      <c r="G164" s="249">
        <f>SUM(E164:F164)</f>
        <v>35522.5</v>
      </c>
    </row>
    <row r="165" spans="1:7" hidden="1" x14ac:dyDescent="0.25">
      <c r="A165" s="284" t="s">
        <v>22</v>
      </c>
      <c r="B165" s="284"/>
      <c r="C165" s="284"/>
      <c r="D165" s="234"/>
      <c r="E165" s="235">
        <v>0</v>
      </c>
      <c r="F165" s="235">
        <f>SUM(F164)</f>
        <v>35522.5</v>
      </c>
      <c r="G165" s="235">
        <f>SUM(G164)</f>
        <v>35522.5</v>
      </c>
    </row>
    <row r="166" spans="1:7" hidden="1" x14ac:dyDescent="0.25">
      <c r="A166" s="230">
        <v>2</v>
      </c>
      <c r="B166" s="283" t="s">
        <v>191</v>
      </c>
      <c r="C166" s="283"/>
      <c r="D166" s="283"/>
      <c r="E166" s="283"/>
      <c r="F166" s="283"/>
      <c r="G166" s="283"/>
    </row>
    <row r="167" spans="1:7" hidden="1" x14ac:dyDescent="0.25">
      <c r="A167" s="243" t="s">
        <v>218</v>
      </c>
      <c r="B167" s="52" t="s">
        <v>378</v>
      </c>
      <c r="C167" s="244" t="s">
        <v>402</v>
      </c>
      <c r="D167" s="28">
        <v>0</v>
      </c>
      <c r="E167" s="28">
        <v>0</v>
      </c>
      <c r="F167" s="28">
        <f>98784+26068</f>
        <v>124852</v>
      </c>
      <c r="G167" s="250">
        <f>SUM(E167:F167)</f>
        <v>124852</v>
      </c>
    </row>
    <row r="168" spans="1:7" hidden="1" x14ac:dyDescent="0.25">
      <c r="A168" s="243" t="s">
        <v>221</v>
      </c>
      <c r="B168" s="52" t="s">
        <v>352</v>
      </c>
      <c r="C168" s="244" t="s">
        <v>349</v>
      </c>
      <c r="D168" s="28">
        <v>0</v>
      </c>
      <c r="E168" s="28">
        <v>0</v>
      </c>
      <c r="F168" s="28">
        <f>90990+207046.84</f>
        <v>298036.83999999997</v>
      </c>
      <c r="G168" s="250">
        <f>SUM(E168:F168)</f>
        <v>298036.83999999997</v>
      </c>
    </row>
    <row r="169" spans="1:7" hidden="1" x14ac:dyDescent="0.25">
      <c r="A169" s="284" t="s">
        <v>22</v>
      </c>
      <c r="B169" s="284"/>
      <c r="C169" s="284"/>
      <c r="D169" s="234"/>
      <c r="E169" s="235">
        <f>SUM(E167:E168)</f>
        <v>0</v>
      </c>
      <c r="F169" s="235">
        <f>SUM(F167:F168)</f>
        <v>422888.83999999997</v>
      </c>
      <c r="G169" s="235">
        <f>SUM(G167:G168)</f>
        <v>422888.83999999997</v>
      </c>
    </row>
    <row r="170" spans="1:7" hidden="1" x14ac:dyDescent="0.25">
      <c r="A170" s="230">
        <v>3</v>
      </c>
      <c r="B170" s="283" t="s">
        <v>187</v>
      </c>
      <c r="C170" s="283"/>
      <c r="D170" s="283"/>
      <c r="E170" s="283"/>
      <c r="F170" s="283"/>
      <c r="G170" s="283"/>
    </row>
    <row r="171" spans="1:7" hidden="1" x14ac:dyDescent="0.25">
      <c r="A171" s="231" t="s">
        <v>4</v>
      </c>
      <c r="B171" s="201" t="s">
        <v>74</v>
      </c>
      <c r="C171" s="201" t="s">
        <v>74</v>
      </c>
      <c r="D171" s="231"/>
      <c r="E171" s="232"/>
      <c r="F171" s="232">
        <f>31796.19+37772.04+3041.8+152526.48+106328.22+16574.97+2399.32+5977.83+4881.63+21633.64</f>
        <v>382932.12</v>
      </c>
      <c r="G171" s="233">
        <f t="shared" ref="G171:G176" si="28">SUM(E171:F171)</f>
        <v>382932.12</v>
      </c>
    </row>
    <row r="172" spans="1:7" hidden="1" x14ac:dyDescent="0.25">
      <c r="A172" s="231" t="s">
        <v>5</v>
      </c>
      <c r="B172" s="201" t="s">
        <v>275</v>
      </c>
      <c r="C172" s="244" t="s">
        <v>317</v>
      </c>
      <c r="D172" s="231"/>
      <c r="E172" s="232"/>
      <c r="F172" s="232">
        <f>6638.4+98913.6+6970.32+103859.28</f>
        <v>216381.6</v>
      </c>
      <c r="G172" s="233">
        <f t="shared" si="28"/>
        <v>216381.6</v>
      </c>
    </row>
    <row r="173" spans="1:7" hidden="1" x14ac:dyDescent="0.25">
      <c r="A173" s="274" t="s">
        <v>6</v>
      </c>
      <c r="B173" s="272" t="s">
        <v>13</v>
      </c>
      <c r="C173" s="244" t="s">
        <v>324</v>
      </c>
      <c r="D173" s="243"/>
      <c r="E173" s="28"/>
      <c r="F173" s="28">
        <v>2204.1799999999998</v>
      </c>
      <c r="G173" s="233">
        <f t="shared" si="28"/>
        <v>2204.1799999999998</v>
      </c>
    </row>
    <row r="174" spans="1:7" hidden="1" x14ac:dyDescent="0.25">
      <c r="A174" s="275"/>
      <c r="B174" s="273"/>
      <c r="C174" s="244" t="s">
        <v>318</v>
      </c>
      <c r="D174" s="243"/>
      <c r="E174" s="28"/>
      <c r="F174" s="28">
        <v>1528.8</v>
      </c>
      <c r="G174" s="233">
        <f t="shared" si="28"/>
        <v>1528.8</v>
      </c>
    </row>
    <row r="175" spans="1:7" hidden="1" x14ac:dyDescent="0.25">
      <c r="A175" s="246" t="s">
        <v>18</v>
      </c>
      <c r="B175" s="245" t="s">
        <v>338</v>
      </c>
      <c r="C175" s="244" t="s">
        <v>393</v>
      </c>
      <c r="D175" s="243"/>
      <c r="E175" s="28"/>
      <c r="F175" s="28">
        <v>2520</v>
      </c>
      <c r="G175" s="233">
        <f>SUM(F175)</f>
        <v>2520</v>
      </c>
    </row>
    <row r="176" spans="1:7" hidden="1" x14ac:dyDescent="0.25">
      <c r="A176" s="231" t="s">
        <v>23</v>
      </c>
      <c r="B176" s="201" t="s">
        <v>7</v>
      </c>
      <c r="C176" s="201" t="s">
        <v>354</v>
      </c>
      <c r="D176" s="231"/>
      <c r="E176" s="232"/>
      <c r="F176" s="232">
        <v>12982.05</v>
      </c>
      <c r="G176" s="233">
        <f t="shared" si="28"/>
        <v>12982.05</v>
      </c>
    </row>
    <row r="177" spans="1:7" hidden="1" x14ac:dyDescent="0.25">
      <c r="A177" s="241" t="s">
        <v>24</v>
      </c>
      <c r="B177" s="242" t="s">
        <v>132</v>
      </c>
      <c r="C177" s="244" t="s">
        <v>374</v>
      </c>
      <c r="D177" s="231"/>
      <c r="E177" s="232"/>
      <c r="F177" s="232">
        <v>22802.7</v>
      </c>
      <c r="G177" s="233">
        <f>SUM(E177:F177)</f>
        <v>22802.7</v>
      </c>
    </row>
    <row r="178" spans="1:7" hidden="1" x14ac:dyDescent="0.25">
      <c r="A178" s="284" t="s">
        <v>22</v>
      </c>
      <c r="B178" s="284"/>
      <c r="C178" s="284"/>
      <c r="D178" s="234"/>
      <c r="E178" s="235">
        <f>SUM(E171:E177)</f>
        <v>0</v>
      </c>
      <c r="F178" s="235">
        <f>SUM(F171:F177)</f>
        <v>641351.45000000007</v>
      </c>
      <c r="G178" s="236">
        <f>SUM(G171:G177)</f>
        <v>641351.45000000007</v>
      </c>
    </row>
    <row r="179" spans="1:7" hidden="1" x14ac:dyDescent="0.25">
      <c r="A179" s="230">
        <v>4</v>
      </c>
      <c r="B179" s="283" t="s">
        <v>192</v>
      </c>
      <c r="C179" s="283"/>
      <c r="D179" s="283"/>
      <c r="E179" s="283"/>
      <c r="F179" s="283"/>
      <c r="G179" s="283"/>
    </row>
    <row r="180" spans="1:7" hidden="1" x14ac:dyDescent="0.25">
      <c r="A180" s="284" t="s">
        <v>22</v>
      </c>
      <c r="B180" s="284"/>
      <c r="C180" s="284"/>
      <c r="D180" s="234"/>
      <c r="E180" s="235">
        <v>0</v>
      </c>
      <c r="F180" s="235">
        <v>0</v>
      </c>
      <c r="G180" s="236">
        <v>0</v>
      </c>
    </row>
    <row r="181" spans="1:7" hidden="1" x14ac:dyDescent="0.25">
      <c r="A181" s="230">
        <v>5</v>
      </c>
      <c r="B181" s="285" t="s">
        <v>193</v>
      </c>
      <c r="C181" s="286"/>
      <c r="D181" s="286"/>
      <c r="E181" s="286"/>
      <c r="F181" s="286"/>
      <c r="G181" s="287"/>
    </row>
    <row r="182" spans="1:7" ht="25.5" hidden="1" x14ac:dyDescent="0.25">
      <c r="A182" s="231" t="s">
        <v>32</v>
      </c>
      <c r="B182" s="190" t="s">
        <v>3</v>
      </c>
      <c r="C182" s="201" t="s">
        <v>19</v>
      </c>
      <c r="D182" s="231"/>
      <c r="E182" s="232"/>
      <c r="F182" s="232"/>
      <c r="G182" s="232">
        <f>SUM(E182:F182)</f>
        <v>0</v>
      </c>
    </row>
    <row r="183" spans="1:7" hidden="1" x14ac:dyDescent="0.25">
      <c r="A183" s="284" t="s">
        <v>22</v>
      </c>
      <c r="B183" s="284"/>
      <c r="C183" s="284"/>
      <c r="D183" s="234"/>
      <c r="E183" s="235">
        <f>E182</f>
        <v>0</v>
      </c>
      <c r="F183" s="235">
        <f>F182</f>
        <v>0</v>
      </c>
      <c r="G183" s="236">
        <f>SUM(E183:F183)</f>
        <v>0</v>
      </c>
    </row>
    <row r="184" spans="1:7" hidden="1" x14ac:dyDescent="0.25">
      <c r="A184" s="288" t="s">
        <v>1</v>
      </c>
      <c r="B184" s="288"/>
      <c r="C184" s="288"/>
      <c r="D184" s="288"/>
      <c r="E184" s="237">
        <f>E165+E169+E178+E180+E183</f>
        <v>0</v>
      </c>
      <c r="F184" s="237">
        <f>F165+F169++F180+F183+F178</f>
        <v>1099762.79</v>
      </c>
      <c r="G184" s="237">
        <f>G165+G169+G178+G180+G183</f>
        <v>1099762.79</v>
      </c>
    </row>
    <row r="185" spans="1:7" hidden="1" x14ac:dyDescent="0.25">
      <c r="A185" s="282" t="s">
        <v>33</v>
      </c>
      <c r="B185" s="282"/>
      <c r="C185" s="238"/>
      <c r="D185" s="239"/>
      <c r="E185" s="240"/>
      <c r="F185" s="240"/>
      <c r="G185" s="240"/>
    </row>
    <row r="186" spans="1:7" hidden="1" x14ac:dyDescent="0.25"/>
    <row r="187" spans="1:7" hidden="1" x14ac:dyDescent="0.25">
      <c r="A187" s="293" t="s">
        <v>403</v>
      </c>
      <c r="B187" s="293"/>
      <c r="C187" s="293"/>
      <c r="D187" s="293"/>
      <c r="E187" s="293"/>
      <c r="F187" s="293"/>
      <c r="G187" s="293"/>
    </row>
    <row r="188" spans="1:7" ht="38.25" hidden="1" x14ac:dyDescent="0.25">
      <c r="A188" s="14" t="s">
        <v>27</v>
      </c>
      <c r="B188" s="14" t="s">
        <v>28</v>
      </c>
      <c r="C188" s="14" t="s">
        <v>29</v>
      </c>
      <c r="D188" s="14" t="s">
        <v>2</v>
      </c>
      <c r="E188" s="14" t="s">
        <v>388</v>
      </c>
      <c r="F188" s="14" t="s">
        <v>389</v>
      </c>
      <c r="G188" s="14" t="s">
        <v>390</v>
      </c>
    </row>
    <row r="189" spans="1:7" hidden="1" x14ac:dyDescent="0.25">
      <c r="A189" s="230">
        <v>1</v>
      </c>
      <c r="B189" s="283" t="s">
        <v>190</v>
      </c>
      <c r="C189" s="283"/>
      <c r="D189" s="283"/>
      <c r="E189" s="283"/>
      <c r="F189" s="283"/>
      <c r="G189" s="283"/>
    </row>
    <row r="190" spans="1:7" hidden="1" x14ac:dyDescent="0.25">
      <c r="A190" s="284" t="s">
        <v>22</v>
      </c>
      <c r="B190" s="284"/>
      <c r="C190" s="284"/>
      <c r="D190" s="234"/>
      <c r="E190" s="235">
        <v>0</v>
      </c>
      <c r="F190" s="235">
        <f>SUM(E190)</f>
        <v>0</v>
      </c>
      <c r="G190" s="235">
        <f>SUM(E190:F190)</f>
        <v>0</v>
      </c>
    </row>
    <row r="191" spans="1:7" hidden="1" x14ac:dyDescent="0.25">
      <c r="A191" s="230">
        <v>2</v>
      </c>
      <c r="B191" s="283" t="s">
        <v>191</v>
      </c>
      <c r="C191" s="283"/>
      <c r="D191" s="283"/>
      <c r="E191" s="283"/>
      <c r="F191" s="283"/>
      <c r="G191" s="283"/>
    </row>
    <row r="192" spans="1:7" hidden="1" x14ac:dyDescent="0.25">
      <c r="A192" s="247" t="s">
        <v>218</v>
      </c>
      <c r="B192" s="52" t="s">
        <v>352</v>
      </c>
      <c r="C192" s="244" t="s">
        <v>349</v>
      </c>
      <c r="D192" s="248"/>
      <c r="E192" s="249"/>
      <c r="F192" s="249">
        <f>153335+191120.16</f>
        <v>344455.16000000003</v>
      </c>
      <c r="G192" s="249">
        <f>SUM(E192:F192)</f>
        <v>344455.16000000003</v>
      </c>
    </row>
    <row r="193" spans="1:7" hidden="1" x14ac:dyDescent="0.25">
      <c r="A193" s="284" t="s">
        <v>22</v>
      </c>
      <c r="B193" s="284"/>
      <c r="C193" s="284"/>
      <c r="D193" s="234"/>
      <c r="E193" s="235">
        <f>SUM(E192)</f>
        <v>0</v>
      </c>
      <c r="F193" s="235">
        <f>SUM(F192)</f>
        <v>344455.16000000003</v>
      </c>
      <c r="G193" s="235">
        <f>SUM(E193:F193)</f>
        <v>344455.16000000003</v>
      </c>
    </row>
    <row r="194" spans="1:7" hidden="1" x14ac:dyDescent="0.25">
      <c r="A194" s="230">
        <v>3</v>
      </c>
      <c r="B194" s="283" t="s">
        <v>187</v>
      </c>
      <c r="C194" s="283"/>
      <c r="D194" s="283"/>
      <c r="E194" s="283"/>
      <c r="F194" s="283"/>
      <c r="G194" s="283"/>
    </row>
    <row r="195" spans="1:7" hidden="1" x14ac:dyDescent="0.25">
      <c r="A195" s="231" t="s">
        <v>4</v>
      </c>
      <c r="B195" s="201" t="s">
        <v>74</v>
      </c>
      <c r="C195" s="201" t="s">
        <v>74</v>
      </c>
      <c r="D195" s="231"/>
      <c r="E195" s="232"/>
      <c r="F195" s="232">
        <f>31680.36+715.05+37182.34+1333.68+618.27+3132.6+155790.45+5914.35+4881.63+108170.52+22137.63+19401.4</f>
        <v>390958.28</v>
      </c>
      <c r="G195" s="233">
        <f t="shared" ref="G195:G198" si="29">SUM(E195:F195)</f>
        <v>390958.28</v>
      </c>
    </row>
    <row r="196" spans="1:7" hidden="1" x14ac:dyDescent="0.25">
      <c r="A196" s="231" t="s">
        <v>5</v>
      </c>
      <c r="B196" s="201" t="s">
        <v>275</v>
      </c>
      <c r="C196" s="244" t="s">
        <v>317</v>
      </c>
      <c r="D196" s="231"/>
      <c r="E196" s="232"/>
      <c r="F196" s="232">
        <f>102210.72+6859.68</f>
        <v>109070.39999999999</v>
      </c>
      <c r="G196" s="233">
        <f t="shared" si="29"/>
        <v>109070.39999999999</v>
      </c>
    </row>
    <row r="197" spans="1:7" hidden="1" x14ac:dyDescent="0.25">
      <c r="A197" s="274" t="s">
        <v>6</v>
      </c>
      <c r="B197" s="272" t="s">
        <v>13</v>
      </c>
      <c r="C197" s="244" t="s">
        <v>324</v>
      </c>
      <c r="D197" s="243"/>
      <c r="E197" s="28"/>
      <c r="F197" s="28">
        <f>90.18+1924.58</f>
        <v>2014.76</v>
      </c>
      <c r="G197" s="233">
        <f t="shared" si="29"/>
        <v>2014.76</v>
      </c>
    </row>
    <row r="198" spans="1:7" hidden="1" x14ac:dyDescent="0.25">
      <c r="A198" s="275"/>
      <c r="B198" s="273"/>
      <c r="C198" s="244" t="s">
        <v>318</v>
      </c>
      <c r="D198" s="243"/>
      <c r="E198" s="28"/>
      <c r="F198" s="28">
        <v>1100.05</v>
      </c>
      <c r="G198" s="233">
        <f t="shared" si="29"/>
        <v>1100.05</v>
      </c>
    </row>
    <row r="199" spans="1:7" hidden="1" x14ac:dyDescent="0.25">
      <c r="A199" s="246" t="s">
        <v>18</v>
      </c>
      <c r="B199" s="245" t="s">
        <v>338</v>
      </c>
      <c r="C199" s="244" t="s">
        <v>393</v>
      </c>
      <c r="D199" s="243"/>
      <c r="E199" s="28">
        <v>34825.440000000002</v>
      </c>
      <c r="F199" s="28">
        <v>0</v>
      </c>
      <c r="G199" s="233">
        <f>SUM(E199:F199)</f>
        <v>34825.440000000002</v>
      </c>
    </row>
    <row r="200" spans="1:7" hidden="1" x14ac:dyDescent="0.25">
      <c r="A200" s="246" t="s">
        <v>23</v>
      </c>
      <c r="B200" s="201" t="s">
        <v>7</v>
      </c>
      <c r="C200" s="201" t="s">
        <v>354</v>
      </c>
      <c r="D200" s="231"/>
      <c r="E200" s="232"/>
      <c r="F200" s="232">
        <v>12982.05</v>
      </c>
      <c r="G200" s="233">
        <f t="shared" ref="G200" si="30">SUM(E200:F200)</f>
        <v>12982.05</v>
      </c>
    </row>
    <row r="201" spans="1:7" hidden="1" x14ac:dyDescent="0.25">
      <c r="A201" s="246" t="s">
        <v>24</v>
      </c>
      <c r="B201" s="242" t="s">
        <v>132</v>
      </c>
      <c r="C201" s="244" t="s">
        <v>404</v>
      </c>
      <c r="D201" s="231"/>
      <c r="E201" s="232"/>
      <c r="F201" s="232">
        <f>9533.34+4368+35440+29940.01+16940.01</f>
        <v>96221.359999999986</v>
      </c>
      <c r="G201" s="233">
        <f>SUM(E201:F201)</f>
        <v>96221.359999999986</v>
      </c>
    </row>
    <row r="202" spans="1:7" hidden="1" x14ac:dyDescent="0.25">
      <c r="A202" s="284" t="s">
        <v>22</v>
      </c>
      <c r="B202" s="284"/>
      <c r="C202" s="284"/>
      <c r="D202" s="234"/>
      <c r="E202" s="235">
        <f>SUM(E195:E201)</f>
        <v>34825.440000000002</v>
      </c>
      <c r="F202" s="235">
        <f>SUM(F195:F201)</f>
        <v>612346.9</v>
      </c>
      <c r="G202" s="236">
        <f>SUM(G195:G201)</f>
        <v>647172.34000000008</v>
      </c>
    </row>
    <row r="203" spans="1:7" hidden="1" x14ac:dyDescent="0.25">
      <c r="A203" s="230">
        <v>4</v>
      </c>
      <c r="B203" s="283" t="s">
        <v>192</v>
      </c>
      <c r="C203" s="283"/>
      <c r="D203" s="283"/>
      <c r="E203" s="283"/>
      <c r="F203" s="283"/>
      <c r="G203" s="283"/>
    </row>
    <row r="204" spans="1:7" hidden="1" x14ac:dyDescent="0.25">
      <c r="A204" s="284" t="s">
        <v>22</v>
      </c>
      <c r="B204" s="284"/>
      <c r="C204" s="284"/>
      <c r="D204" s="234"/>
      <c r="E204" s="235">
        <v>0</v>
      </c>
      <c r="F204" s="235">
        <v>0</v>
      </c>
      <c r="G204" s="236">
        <v>0</v>
      </c>
    </row>
    <row r="205" spans="1:7" hidden="1" x14ac:dyDescent="0.25">
      <c r="A205" s="230">
        <v>5</v>
      </c>
      <c r="B205" s="285" t="s">
        <v>193</v>
      </c>
      <c r="C205" s="286"/>
      <c r="D205" s="286"/>
      <c r="E205" s="286"/>
      <c r="F205" s="286"/>
      <c r="G205" s="287"/>
    </row>
    <row r="206" spans="1:7" ht="25.5" hidden="1" x14ac:dyDescent="0.25">
      <c r="A206" s="231" t="s">
        <v>32</v>
      </c>
      <c r="B206" s="190" t="s">
        <v>3</v>
      </c>
      <c r="C206" s="201" t="s">
        <v>19</v>
      </c>
      <c r="D206" s="231"/>
      <c r="E206" s="232"/>
      <c r="F206" s="232">
        <f>76484+80601.58</f>
        <v>157085.58000000002</v>
      </c>
      <c r="G206" s="232">
        <f>SUM(E206:F206)</f>
        <v>157085.58000000002</v>
      </c>
    </row>
    <row r="207" spans="1:7" hidden="1" x14ac:dyDescent="0.25">
      <c r="A207" s="284" t="s">
        <v>22</v>
      </c>
      <c r="B207" s="284"/>
      <c r="C207" s="284"/>
      <c r="D207" s="234"/>
      <c r="E207" s="235">
        <f>E206</f>
        <v>0</v>
      </c>
      <c r="F207" s="235">
        <f>F206</f>
        <v>157085.58000000002</v>
      </c>
      <c r="G207" s="236">
        <f>SUM(E207:F207)</f>
        <v>157085.58000000002</v>
      </c>
    </row>
    <row r="208" spans="1:7" hidden="1" x14ac:dyDescent="0.25">
      <c r="A208" s="288" t="s">
        <v>1</v>
      </c>
      <c r="B208" s="288"/>
      <c r="C208" s="288"/>
      <c r="D208" s="288"/>
      <c r="E208" s="237">
        <f>E190+E193+E202+E204+E207</f>
        <v>34825.440000000002</v>
      </c>
      <c r="F208" s="237">
        <f>F190+F193++F204+F207+F202</f>
        <v>1113887.6400000001</v>
      </c>
      <c r="G208" s="237">
        <f>G190+G193+G202+G204+G207</f>
        <v>1148713.08</v>
      </c>
    </row>
    <row r="209" spans="1:7" hidden="1" x14ac:dyDescent="0.25">
      <c r="A209" s="282" t="s">
        <v>33</v>
      </c>
      <c r="B209" s="282"/>
      <c r="C209" s="238"/>
      <c r="D209" s="239"/>
      <c r="E209" s="240"/>
      <c r="F209" s="240"/>
      <c r="G209" s="240"/>
    </row>
    <row r="210" spans="1:7" hidden="1" x14ac:dyDescent="0.25"/>
    <row r="211" spans="1:7" hidden="1" x14ac:dyDescent="0.25">
      <c r="A211" s="293" t="s">
        <v>405</v>
      </c>
      <c r="B211" s="293"/>
      <c r="C211" s="293"/>
      <c r="D211" s="293"/>
      <c r="E211" s="293"/>
      <c r="F211" s="293"/>
      <c r="G211" s="293"/>
    </row>
    <row r="212" spans="1:7" ht="38.25" hidden="1" x14ac:dyDescent="0.25">
      <c r="A212" s="14" t="s">
        <v>27</v>
      </c>
      <c r="B212" s="14" t="s">
        <v>28</v>
      </c>
      <c r="C212" s="14" t="s">
        <v>29</v>
      </c>
      <c r="D212" s="14" t="s">
        <v>2</v>
      </c>
      <c r="E212" s="14" t="s">
        <v>388</v>
      </c>
      <c r="F212" s="14" t="s">
        <v>389</v>
      </c>
      <c r="G212" s="14" t="s">
        <v>390</v>
      </c>
    </row>
    <row r="213" spans="1:7" hidden="1" x14ac:dyDescent="0.25">
      <c r="A213" s="230">
        <v>1</v>
      </c>
      <c r="B213" s="283" t="s">
        <v>190</v>
      </c>
      <c r="C213" s="283"/>
      <c r="D213" s="283"/>
      <c r="E213" s="283"/>
      <c r="F213" s="283"/>
      <c r="G213" s="283"/>
    </row>
    <row r="214" spans="1:7" hidden="1" x14ac:dyDescent="0.25">
      <c r="A214" s="247" t="s">
        <v>48</v>
      </c>
      <c r="B214" s="220" t="s">
        <v>400</v>
      </c>
      <c r="C214" s="220" t="s">
        <v>406</v>
      </c>
      <c r="D214" s="248"/>
      <c r="E214" s="248"/>
      <c r="F214" s="249">
        <v>101520</v>
      </c>
      <c r="G214" s="249">
        <f>SUM(E214:F214)</f>
        <v>101520</v>
      </c>
    </row>
    <row r="215" spans="1:7" hidden="1" x14ac:dyDescent="0.25">
      <c r="A215" s="247" t="s">
        <v>70</v>
      </c>
      <c r="B215" s="220" t="s">
        <v>400</v>
      </c>
      <c r="C215" s="220" t="s">
        <v>407</v>
      </c>
      <c r="D215" s="248"/>
      <c r="E215" s="248"/>
      <c r="F215" s="249">
        <v>22500</v>
      </c>
      <c r="G215" s="249">
        <f>SUM(E215:F215)</f>
        <v>22500</v>
      </c>
    </row>
    <row r="216" spans="1:7" hidden="1" x14ac:dyDescent="0.25">
      <c r="A216" s="247" t="s">
        <v>71</v>
      </c>
      <c r="B216" s="201" t="s">
        <v>74</v>
      </c>
      <c r="C216" s="220" t="s">
        <v>74</v>
      </c>
      <c r="D216" s="248"/>
      <c r="E216" s="248"/>
      <c r="F216" s="249">
        <v>148661.84</v>
      </c>
      <c r="G216" s="249">
        <f>SUM(E216:F216)</f>
        <v>148661.84</v>
      </c>
    </row>
    <row r="217" spans="1:7" hidden="1" x14ac:dyDescent="0.25">
      <c r="A217" s="284" t="s">
        <v>22</v>
      </c>
      <c r="B217" s="284"/>
      <c r="C217" s="284"/>
      <c r="D217" s="234"/>
      <c r="E217" s="235">
        <v>0</v>
      </c>
      <c r="F217" s="235">
        <f>SUM(F214:F216)</f>
        <v>272681.83999999997</v>
      </c>
      <c r="G217" s="235">
        <f>SUM(G214:G216)</f>
        <v>272681.83999999997</v>
      </c>
    </row>
    <row r="218" spans="1:7" hidden="1" x14ac:dyDescent="0.25">
      <c r="A218" s="230">
        <v>2</v>
      </c>
      <c r="B218" s="283" t="s">
        <v>191</v>
      </c>
      <c r="C218" s="283"/>
      <c r="D218" s="283"/>
      <c r="E218" s="283"/>
      <c r="F218" s="283"/>
      <c r="G218" s="283"/>
    </row>
    <row r="219" spans="1:7" hidden="1" x14ac:dyDescent="0.25">
      <c r="A219" s="247" t="s">
        <v>218</v>
      </c>
      <c r="B219" s="52" t="s">
        <v>352</v>
      </c>
      <c r="C219" s="244" t="s">
        <v>349</v>
      </c>
      <c r="D219" s="248"/>
      <c r="E219" s="249"/>
      <c r="F219" s="249">
        <f>154346+131757.08+153672</f>
        <v>439775.07999999996</v>
      </c>
      <c r="G219" s="249">
        <f>SUM(E219:F219)</f>
        <v>439775.07999999996</v>
      </c>
    </row>
    <row r="220" spans="1:7" hidden="1" x14ac:dyDescent="0.25">
      <c r="A220" s="284" t="s">
        <v>22</v>
      </c>
      <c r="B220" s="284"/>
      <c r="C220" s="284"/>
      <c r="D220" s="234"/>
      <c r="E220" s="235">
        <v>0</v>
      </c>
      <c r="F220" s="235">
        <f>SUM(F219)</f>
        <v>439775.07999999996</v>
      </c>
      <c r="G220" s="235">
        <f>SUM(G219)</f>
        <v>439775.07999999996</v>
      </c>
    </row>
    <row r="221" spans="1:7" hidden="1" x14ac:dyDescent="0.25">
      <c r="A221" s="230">
        <v>3</v>
      </c>
      <c r="B221" s="283" t="s">
        <v>187</v>
      </c>
      <c r="C221" s="283"/>
      <c r="D221" s="283"/>
      <c r="E221" s="283"/>
      <c r="F221" s="283"/>
      <c r="G221" s="283"/>
    </row>
    <row r="222" spans="1:7" hidden="1" x14ac:dyDescent="0.25">
      <c r="A222" s="231" t="s">
        <v>4</v>
      </c>
      <c r="B222" s="201" t="s">
        <v>74</v>
      </c>
      <c r="C222" s="201" t="s">
        <v>74</v>
      </c>
      <c r="D222" s="231"/>
      <c r="E222" s="232"/>
      <c r="F222" s="232">
        <f>32177.77+37772.04+3087.2+153543.88+5856.02+4881.63+106639.92+22281.09+376140.64+27890.2</f>
        <v>770270.39</v>
      </c>
      <c r="G222" s="233">
        <f t="shared" ref="G222:G226" si="31">SUM(E222:F222)</f>
        <v>770270.39</v>
      </c>
    </row>
    <row r="223" spans="1:7" hidden="1" x14ac:dyDescent="0.25">
      <c r="A223" s="231" t="s">
        <v>5</v>
      </c>
      <c r="B223" s="201" t="s">
        <v>275</v>
      </c>
      <c r="C223" s="244" t="s">
        <v>317</v>
      </c>
      <c r="D223" s="231"/>
      <c r="E223" s="232"/>
      <c r="F223" s="232">
        <f>6638.4+98913.6</f>
        <v>105552</v>
      </c>
      <c r="G223" s="233">
        <f t="shared" si="31"/>
        <v>105552</v>
      </c>
    </row>
    <row r="224" spans="1:7" hidden="1" x14ac:dyDescent="0.25">
      <c r="A224" s="274" t="s">
        <v>6</v>
      </c>
      <c r="B224" s="272" t="s">
        <v>13</v>
      </c>
      <c r="C224" s="244" t="s">
        <v>324</v>
      </c>
      <c r="D224" s="243"/>
      <c r="E224" s="28"/>
      <c r="F224" s="28">
        <f>1917.59+148.14</f>
        <v>2065.73</v>
      </c>
      <c r="G224" s="233">
        <f t="shared" si="31"/>
        <v>2065.73</v>
      </c>
    </row>
    <row r="225" spans="1:7" hidden="1" x14ac:dyDescent="0.25">
      <c r="A225" s="275"/>
      <c r="B225" s="273"/>
      <c r="C225" s="244" t="s">
        <v>318</v>
      </c>
      <c r="D225" s="243"/>
      <c r="E225" s="28"/>
      <c r="F225" s="28">
        <v>1053.5</v>
      </c>
      <c r="G225" s="233">
        <f t="shared" si="31"/>
        <v>1053.5</v>
      </c>
    </row>
    <row r="226" spans="1:7" hidden="1" x14ac:dyDescent="0.25">
      <c r="A226" s="231" t="s">
        <v>18</v>
      </c>
      <c r="B226" s="201" t="s">
        <v>7</v>
      </c>
      <c r="C226" s="201" t="s">
        <v>354</v>
      </c>
      <c r="D226" s="231"/>
      <c r="E226" s="232"/>
      <c r="F226" s="232">
        <v>12982.05</v>
      </c>
      <c r="G226" s="233">
        <f t="shared" si="31"/>
        <v>12982.05</v>
      </c>
    </row>
    <row r="227" spans="1:7" hidden="1" x14ac:dyDescent="0.25">
      <c r="A227" s="241" t="s">
        <v>23</v>
      </c>
      <c r="B227" s="242" t="s">
        <v>132</v>
      </c>
      <c r="C227" s="244" t="s">
        <v>374</v>
      </c>
      <c r="D227" s="231"/>
      <c r="E227" s="232"/>
      <c r="F227" s="232">
        <f>2817.21+7277.75+7042.98+3169.34+3169.34</f>
        <v>23476.62</v>
      </c>
      <c r="G227" s="233">
        <f>SUM(E227:F227)</f>
        <v>23476.62</v>
      </c>
    </row>
    <row r="228" spans="1:7" hidden="1" x14ac:dyDescent="0.25">
      <c r="A228" s="284" t="s">
        <v>22</v>
      </c>
      <c r="B228" s="284"/>
      <c r="C228" s="284"/>
      <c r="D228" s="234"/>
      <c r="E228" s="235">
        <f>SUM(E222:E227)</f>
        <v>0</v>
      </c>
      <c r="F228" s="235">
        <f>SUM(F222:F227)</f>
        <v>915400.29</v>
      </c>
      <c r="G228" s="236">
        <f>SUM(G222:G227)</f>
        <v>915400.29</v>
      </c>
    </row>
    <row r="229" spans="1:7" hidden="1" x14ac:dyDescent="0.25">
      <c r="A229" s="230">
        <v>4</v>
      </c>
      <c r="B229" s="283" t="s">
        <v>192</v>
      </c>
      <c r="C229" s="283"/>
      <c r="D229" s="283"/>
      <c r="E229" s="283"/>
      <c r="F229" s="283"/>
      <c r="G229" s="283"/>
    </row>
    <row r="230" spans="1:7" hidden="1" x14ac:dyDescent="0.25">
      <c r="A230" s="241" t="s">
        <v>66</v>
      </c>
      <c r="B230" s="242" t="s">
        <v>408</v>
      </c>
      <c r="C230" s="244" t="s">
        <v>409</v>
      </c>
      <c r="D230" s="231"/>
      <c r="E230" s="232"/>
      <c r="F230" s="232">
        <v>10825.87</v>
      </c>
      <c r="G230" s="233">
        <f>SUM(E230:F230)</f>
        <v>10825.87</v>
      </c>
    </row>
    <row r="231" spans="1:7" hidden="1" x14ac:dyDescent="0.25">
      <c r="A231" s="241" t="s">
        <v>410</v>
      </c>
      <c r="B231" s="242" t="s">
        <v>408</v>
      </c>
      <c r="C231" s="244" t="s">
        <v>411</v>
      </c>
      <c r="D231" s="231"/>
      <c r="E231" s="232"/>
      <c r="F231" s="232">
        <v>2322</v>
      </c>
      <c r="G231" s="233">
        <f>SUM(E231:F231)</f>
        <v>2322</v>
      </c>
    </row>
    <row r="232" spans="1:7" hidden="1" x14ac:dyDescent="0.25">
      <c r="A232" s="284" t="s">
        <v>22</v>
      </c>
      <c r="B232" s="284"/>
      <c r="C232" s="284"/>
      <c r="D232" s="234"/>
      <c r="E232" s="235">
        <v>0</v>
      </c>
      <c r="F232" s="235">
        <f>SUM(F230:F231)</f>
        <v>13147.87</v>
      </c>
      <c r="G232" s="236">
        <f>SUM(G230:G231)</f>
        <v>13147.87</v>
      </c>
    </row>
    <row r="233" spans="1:7" hidden="1" x14ac:dyDescent="0.25">
      <c r="A233" s="230">
        <v>5</v>
      </c>
      <c r="B233" s="285" t="s">
        <v>193</v>
      </c>
      <c r="C233" s="286"/>
      <c r="D233" s="286"/>
      <c r="E233" s="286"/>
      <c r="F233" s="286"/>
      <c r="G233" s="287"/>
    </row>
    <row r="234" spans="1:7" ht="25.5" hidden="1" x14ac:dyDescent="0.25">
      <c r="A234" s="231" t="s">
        <v>32</v>
      </c>
      <c r="B234" s="190" t="s">
        <v>3</v>
      </c>
      <c r="C234" s="201" t="s">
        <v>19</v>
      </c>
      <c r="D234" s="231"/>
      <c r="E234" s="232"/>
      <c r="F234" s="232"/>
      <c r="G234" s="232">
        <f>SUM(E234:F234)</f>
        <v>0</v>
      </c>
    </row>
    <row r="235" spans="1:7" hidden="1" x14ac:dyDescent="0.25">
      <c r="A235" s="284" t="s">
        <v>22</v>
      </c>
      <c r="B235" s="284"/>
      <c r="C235" s="284"/>
      <c r="D235" s="234"/>
      <c r="E235" s="235">
        <f>E234</f>
        <v>0</v>
      </c>
      <c r="F235" s="235">
        <f>F234</f>
        <v>0</v>
      </c>
      <c r="G235" s="236">
        <f>SUM(E235:F235)</f>
        <v>0</v>
      </c>
    </row>
    <row r="236" spans="1:7" hidden="1" x14ac:dyDescent="0.25">
      <c r="A236" s="288" t="s">
        <v>1</v>
      </c>
      <c r="B236" s="288"/>
      <c r="C236" s="288"/>
      <c r="D236" s="288"/>
      <c r="E236" s="237">
        <f>E217+E220+E228+E232+E235</f>
        <v>0</v>
      </c>
      <c r="F236" s="237">
        <f>F217+F220++F232+F235+F228</f>
        <v>1641005.08</v>
      </c>
      <c r="G236" s="237">
        <f>G217+G220+G228+G232+G235</f>
        <v>1641005.08</v>
      </c>
    </row>
    <row r="237" spans="1:7" hidden="1" x14ac:dyDescent="0.25">
      <c r="A237" s="282" t="s">
        <v>33</v>
      </c>
      <c r="B237" s="282"/>
      <c r="C237" s="238"/>
      <c r="D237" s="239"/>
      <c r="E237" s="240"/>
      <c r="F237" s="240"/>
      <c r="G237" s="240"/>
    </row>
    <row r="238" spans="1:7" hidden="1" x14ac:dyDescent="0.25"/>
    <row r="239" spans="1:7" hidden="1" x14ac:dyDescent="0.25">
      <c r="A239" s="293" t="s">
        <v>412</v>
      </c>
      <c r="B239" s="293"/>
      <c r="C239" s="293"/>
      <c r="D239" s="293"/>
      <c r="E239" s="293"/>
      <c r="F239" s="293"/>
      <c r="G239" s="293"/>
    </row>
    <row r="240" spans="1:7" ht="38.25" hidden="1" x14ac:dyDescent="0.25">
      <c r="A240" s="14" t="s">
        <v>27</v>
      </c>
      <c r="B240" s="14" t="s">
        <v>28</v>
      </c>
      <c r="C240" s="14" t="s">
        <v>29</v>
      </c>
      <c r="D240" s="14" t="s">
        <v>2</v>
      </c>
      <c r="E240" s="14" t="s">
        <v>388</v>
      </c>
      <c r="F240" s="14" t="s">
        <v>389</v>
      </c>
      <c r="G240" s="14" t="s">
        <v>390</v>
      </c>
    </row>
    <row r="241" spans="1:7" hidden="1" x14ac:dyDescent="0.25">
      <c r="A241" s="230">
        <v>1</v>
      </c>
      <c r="B241" s="283" t="s">
        <v>190</v>
      </c>
      <c r="C241" s="283"/>
      <c r="D241" s="283"/>
      <c r="E241" s="283"/>
      <c r="F241" s="283"/>
      <c r="G241" s="283"/>
    </row>
    <row r="242" spans="1:7" hidden="1" x14ac:dyDescent="0.25">
      <c r="A242" s="247" t="s">
        <v>48</v>
      </c>
      <c r="B242" s="201" t="s">
        <v>74</v>
      </c>
      <c r="C242" s="220" t="s">
        <v>74</v>
      </c>
      <c r="D242" s="248"/>
      <c r="E242" s="248"/>
      <c r="F242" s="249">
        <v>119916.3</v>
      </c>
      <c r="G242" s="249">
        <f>SUM(E242:F242)</f>
        <v>119916.3</v>
      </c>
    </row>
    <row r="243" spans="1:7" hidden="1" x14ac:dyDescent="0.25">
      <c r="A243" s="284" t="s">
        <v>22</v>
      </c>
      <c r="B243" s="284"/>
      <c r="C243" s="284"/>
      <c r="D243" s="234"/>
      <c r="E243" s="235">
        <v>0</v>
      </c>
      <c r="F243" s="235">
        <f>SUM(F242:F242)</f>
        <v>119916.3</v>
      </c>
      <c r="G243" s="235">
        <f>SUM(G242:G242)</f>
        <v>119916.3</v>
      </c>
    </row>
    <row r="244" spans="1:7" hidden="1" x14ac:dyDescent="0.25">
      <c r="A244" s="230">
        <v>2</v>
      </c>
      <c r="B244" s="283" t="s">
        <v>191</v>
      </c>
      <c r="C244" s="283"/>
      <c r="D244" s="283"/>
      <c r="E244" s="283"/>
      <c r="F244" s="283"/>
      <c r="G244" s="283"/>
    </row>
    <row r="245" spans="1:7" hidden="1" x14ac:dyDescent="0.25">
      <c r="A245" s="284" t="s">
        <v>22</v>
      </c>
      <c r="B245" s="284"/>
      <c r="C245" s="284"/>
      <c r="D245" s="234"/>
      <c r="E245" s="235">
        <v>0</v>
      </c>
      <c r="F245" s="235">
        <v>0</v>
      </c>
      <c r="G245" s="235">
        <v>0</v>
      </c>
    </row>
    <row r="246" spans="1:7" hidden="1" x14ac:dyDescent="0.25">
      <c r="A246" s="230">
        <v>3</v>
      </c>
      <c r="B246" s="283" t="s">
        <v>187</v>
      </c>
      <c r="C246" s="283"/>
      <c r="D246" s="283"/>
      <c r="E246" s="283"/>
      <c r="F246" s="283"/>
      <c r="G246" s="283"/>
    </row>
    <row r="247" spans="1:7" hidden="1" x14ac:dyDescent="0.25">
      <c r="A247" s="231" t="s">
        <v>4</v>
      </c>
      <c r="B247" s="201" t="s">
        <v>74</v>
      </c>
      <c r="C247" s="201" t="s">
        <v>74</v>
      </c>
      <c r="D247" s="231"/>
      <c r="E247" s="232"/>
      <c r="F247" s="232">
        <f>31610.85+393.38+37772.04+182.83+3087.2+39656.77+22466.99+105982.87+4881.63+5515.3+153765.11</f>
        <v>405314.97</v>
      </c>
      <c r="G247" s="233">
        <f t="shared" ref="G247:G251" si="32">SUM(E247:F247)</f>
        <v>405314.97</v>
      </c>
    </row>
    <row r="248" spans="1:7" hidden="1" x14ac:dyDescent="0.25">
      <c r="A248" s="231" t="s">
        <v>5</v>
      </c>
      <c r="B248" s="201" t="s">
        <v>275</v>
      </c>
      <c r="C248" s="244" t="s">
        <v>317</v>
      </c>
      <c r="D248" s="231"/>
      <c r="E248" s="232"/>
      <c r="F248" s="232"/>
      <c r="G248" s="233">
        <f t="shared" si="32"/>
        <v>0</v>
      </c>
    </row>
    <row r="249" spans="1:7" hidden="1" x14ac:dyDescent="0.25">
      <c r="A249" s="274" t="s">
        <v>6</v>
      </c>
      <c r="B249" s="272" t="s">
        <v>13</v>
      </c>
      <c r="C249" s="244" t="s">
        <v>324</v>
      </c>
      <c r="D249" s="243"/>
      <c r="E249" s="28"/>
      <c r="F249" s="28">
        <f>144.54+1870.99</f>
        <v>2015.53</v>
      </c>
      <c r="G249" s="233">
        <f t="shared" si="32"/>
        <v>2015.53</v>
      </c>
    </row>
    <row r="250" spans="1:7" hidden="1" x14ac:dyDescent="0.25">
      <c r="A250" s="275"/>
      <c r="B250" s="273"/>
      <c r="C250" s="244" t="s">
        <v>318</v>
      </c>
      <c r="D250" s="243"/>
      <c r="E250" s="28"/>
      <c r="F250" s="28">
        <v>992.25</v>
      </c>
      <c r="G250" s="233">
        <f t="shared" si="32"/>
        <v>992.25</v>
      </c>
    </row>
    <row r="251" spans="1:7" hidden="1" x14ac:dyDescent="0.25">
      <c r="A251" s="231" t="s">
        <v>18</v>
      </c>
      <c r="B251" s="201" t="s">
        <v>7</v>
      </c>
      <c r="C251" s="201" t="s">
        <v>354</v>
      </c>
      <c r="D251" s="231"/>
      <c r="E251" s="232"/>
      <c r="F251" s="232">
        <v>12982.05</v>
      </c>
      <c r="G251" s="233">
        <f t="shared" si="32"/>
        <v>12982.05</v>
      </c>
    </row>
    <row r="252" spans="1:7" hidden="1" x14ac:dyDescent="0.25">
      <c r="A252" s="241" t="s">
        <v>23</v>
      </c>
      <c r="B252" s="242" t="s">
        <v>132</v>
      </c>
      <c r="C252" s="244" t="s">
        <v>374</v>
      </c>
      <c r="D252" s="231"/>
      <c r="E252" s="232"/>
      <c r="F252" s="232"/>
      <c r="G252" s="233">
        <f>SUM(E252:F252)</f>
        <v>0</v>
      </c>
    </row>
    <row r="253" spans="1:7" hidden="1" x14ac:dyDescent="0.25">
      <c r="A253" s="284" t="s">
        <v>22</v>
      </c>
      <c r="B253" s="284"/>
      <c r="C253" s="284"/>
      <c r="D253" s="234"/>
      <c r="E253" s="235">
        <f>SUM(E247:E252)</f>
        <v>0</v>
      </c>
      <c r="F253" s="235">
        <f>SUM(F247:F252)</f>
        <v>421304.8</v>
      </c>
      <c r="G253" s="236">
        <f>SUM(G247:G252)</f>
        <v>421304.8</v>
      </c>
    </row>
    <row r="254" spans="1:7" hidden="1" x14ac:dyDescent="0.25">
      <c r="A254" s="230">
        <v>4</v>
      </c>
      <c r="B254" s="283" t="s">
        <v>192</v>
      </c>
      <c r="C254" s="283"/>
      <c r="D254" s="283"/>
      <c r="E254" s="283"/>
      <c r="F254" s="283"/>
      <c r="G254" s="283"/>
    </row>
    <row r="255" spans="1:7" hidden="1" x14ac:dyDescent="0.25">
      <c r="A255" s="284" t="s">
        <v>22</v>
      </c>
      <c r="B255" s="284"/>
      <c r="C255" s="284"/>
      <c r="D255" s="234"/>
      <c r="E255" s="235">
        <v>0</v>
      </c>
      <c r="F255" s="235">
        <v>0</v>
      </c>
      <c r="G255" s="236">
        <v>0</v>
      </c>
    </row>
    <row r="256" spans="1:7" hidden="1" x14ac:dyDescent="0.25">
      <c r="A256" s="230">
        <v>5</v>
      </c>
      <c r="B256" s="285" t="s">
        <v>193</v>
      </c>
      <c r="C256" s="286"/>
      <c r="D256" s="286"/>
      <c r="E256" s="286"/>
      <c r="F256" s="286"/>
      <c r="G256" s="287"/>
    </row>
    <row r="257" spans="1:7" ht="25.5" hidden="1" x14ac:dyDescent="0.25">
      <c r="A257" s="231" t="s">
        <v>32</v>
      </c>
      <c r="B257" s="190" t="s">
        <v>3</v>
      </c>
      <c r="C257" s="201" t="s">
        <v>19</v>
      </c>
      <c r="D257" s="231"/>
      <c r="E257" s="232"/>
      <c r="F257" s="232"/>
      <c r="G257" s="232">
        <f>SUM(E257:F257)</f>
        <v>0</v>
      </c>
    </row>
    <row r="258" spans="1:7" hidden="1" x14ac:dyDescent="0.25">
      <c r="A258" s="284" t="s">
        <v>22</v>
      </c>
      <c r="B258" s="284"/>
      <c r="C258" s="284"/>
      <c r="D258" s="234"/>
      <c r="E258" s="235">
        <f>E257</f>
        <v>0</v>
      </c>
      <c r="F258" s="235">
        <f>F257</f>
        <v>0</v>
      </c>
      <c r="G258" s="236">
        <f>SUM(E258:F258)</f>
        <v>0</v>
      </c>
    </row>
    <row r="259" spans="1:7" hidden="1" x14ac:dyDescent="0.25">
      <c r="A259" s="288" t="s">
        <v>1</v>
      </c>
      <c r="B259" s="288"/>
      <c r="C259" s="288"/>
      <c r="D259" s="288"/>
      <c r="E259" s="237">
        <f>E243+E245+E253+E255+E258</f>
        <v>0</v>
      </c>
      <c r="F259" s="237">
        <f>F243+F245++F255+F258+F253</f>
        <v>541221.1</v>
      </c>
      <c r="G259" s="237">
        <f>G243+G245+G253+G255+G258</f>
        <v>541221.1</v>
      </c>
    </row>
    <row r="260" spans="1:7" hidden="1" x14ac:dyDescent="0.25">
      <c r="A260" s="282" t="s">
        <v>33</v>
      </c>
      <c r="B260" s="282"/>
      <c r="C260" s="238"/>
      <c r="D260" s="239"/>
      <c r="E260" s="240"/>
      <c r="F260" s="240"/>
      <c r="G260" s="240"/>
    </row>
    <row r="261" spans="1:7" hidden="1" x14ac:dyDescent="0.25"/>
    <row r="262" spans="1:7" hidden="1" x14ac:dyDescent="0.25">
      <c r="A262" s="293" t="s">
        <v>413</v>
      </c>
      <c r="B262" s="293"/>
      <c r="C262" s="293"/>
      <c r="D262" s="293"/>
      <c r="E262" s="293"/>
      <c r="F262" s="293"/>
      <c r="G262" s="293"/>
    </row>
    <row r="263" spans="1:7" ht="38.25" hidden="1" x14ac:dyDescent="0.25">
      <c r="A263" s="14" t="s">
        <v>27</v>
      </c>
      <c r="B263" s="14" t="s">
        <v>28</v>
      </c>
      <c r="C263" s="14" t="s">
        <v>29</v>
      </c>
      <c r="D263" s="14" t="s">
        <v>2</v>
      </c>
      <c r="E263" s="14" t="s">
        <v>388</v>
      </c>
      <c r="F263" s="14" t="s">
        <v>389</v>
      </c>
      <c r="G263" s="14" t="s">
        <v>390</v>
      </c>
    </row>
    <row r="264" spans="1:7" hidden="1" x14ac:dyDescent="0.25">
      <c r="A264" s="230">
        <v>1</v>
      </c>
      <c r="B264" s="283" t="s">
        <v>190</v>
      </c>
      <c r="C264" s="283"/>
      <c r="D264" s="283"/>
      <c r="E264" s="283"/>
      <c r="F264" s="283"/>
      <c r="G264" s="283"/>
    </row>
    <row r="265" spans="1:7" hidden="1" x14ac:dyDescent="0.25">
      <c r="A265" s="247" t="s">
        <v>48</v>
      </c>
      <c r="B265" s="201" t="s">
        <v>74</v>
      </c>
      <c r="C265" s="220" t="s">
        <v>74</v>
      </c>
      <c r="D265" s="248"/>
      <c r="E265" s="248"/>
      <c r="F265" s="249">
        <v>107083.22</v>
      </c>
      <c r="G265" s="249">
        <f>SUM(E265:F265)</f>
        <v>107083.22</v>
      </c>
    </row>
    <row r="266" spans="1:7" hidden="1" x14ac:dyDescent="0.25">
      <c r="A266" s="284" t="s">
        <v>22</v>
      </c>
      <c r="B266" s="284"/>
      <c r="C266" s="284"/>
      <c r="D266" s="234"/>
      <c r="E266" s="235">
        <v>0</v>
      </c>
      <c r="F266" s="235">
        <f>SUM(F265:F265)</f>
        <v>107083.22</v>
      </c>
      <c r="G266" s="235">
        <f>SUM(G265:G265)</f>
        <v>107083.22</v>
      </c>
    </row>
    <row r="267" spans="1:7" hidden="1" x14ac:dyDescent="0.25">
      <c r="A267" s="230">
        <v>2</v>
      </c>
      <c r="B267" s="283" t="s">
        <v>191</v>
      </c>
      <c r="C267" s="283"/>
      <c r="D267" s="283"/>
      <c r="E267" s="283"/>
      <c r="F267" s="283"/>
      <c r="G267" s="283"/>
    </row>
    <row r="268" spans="1:7" hidden="1" x14ac:dyDescent="0.25">
      <c r="A268" s="284" t="s">
        <v>22</v>
      </c>
      <c r="B268" s="284"/>
      <c r="C268" s="284"/>
      <c r="D268" s="234"/>
      <c r="E268" s="235">
        <v>0</v>
      </c>
      <c r="F268" s="235">
        <v>0</v>
      </c>
      <c r="G268" s="235">
        <v>0</v>
      </c>
    </row>
    <row r="269" spans="1:7" hidden="1" x14ac:dyDescent="0.25">
      <c r="A269" s="230">
        <v>3</v>
      </c>
      <c r="B269" s="283" t="s">
        <v>187</v>
      </c>
      <c r="C269" s="283"/>
      <c r="D269" s="283"/>
      <c r="E269" s="283"/>
      <c r="F269" s="283"/>
      <c r="G269" s="283"/>
    </row>
    <row r="270" spans="1:7" hidden="1" x14ac:dyDescent="0.25">
      <c r="A270" s="231" t="s">
        <v>4</v>
      </c>
      <c r="B270" s="201" t="s">
        <v>74</v>
      </c>
      <c r="C270" s="201" t="s">
        <v>74</v>
      </c>
      <c r="D270" s="231"/>
      <c r="E270" s="232"/>
      <c r="F270" s="232">
        <f>31728.53+37772.04+116115.16+3041.8+153870.76+5133.9+4881.63+105900.76+22600.72</f>
        <v>481045.30000000005</v>
      </c>
      <c r="G270" s="233">
        <f t="shared" ref="G270:G274" si="33">SUM(E270:F270)</f>
        <v>481045.30000000005</v>
      </c>
    </row>
    <row r="271" spans="1:7" hidden="1" x14ac:dyDescent="0.25">
      <c r="A271" s="231" t="s">
        <v>5</v>
      </c>
      <c r="B271" s="201" t="s">
        <v>275</v>
      </c>
      <c r="C271" s="244" t="s">
        <v>317</v>
      </c>
      <c r="D271" s="231"/>
      <c r="E271" s="232"/>
      <c r="F271" s="232">
        <f>103035+6915</f>
        <v>109950</v>
      </c>
      <c r="G271" s="233">
        <f t="shared" si="33"/>
        <v>109950</v>
      </c>
    </row>
    <row r="272" spans="1:7" hidden="1" x14ac:dyDescent="0.25">
      <c r="A272" s="274" t="s">
        <v>6</v>
      </c>
      <c r="B272" s="272" t="s">
        <v>13</v>
      </c>
      <c r="C272" s="244" t="s">
        <v>324</v>
      </c>
      <c r="D272" s="243"/>
      <c r="E272" s="28"/>
      <c r="F272" s="28">
        <v>0</v>
      </c>
      <c r="G272" s="233">
        <f t="shared" si="33"/>
        <v>0</v>
      </c>
    </row>
    <row r="273" spans="1:7" hidden="1" x14ac:dyDescent="0.25">
      <c r="A273" s="275"/>
      <c r="B273" s="273"/>
      <c r="C273" s="244" t="s">
        <v>318</v>
      </c>
      <c r="D273" s="243"/>
      <c r="E273" s="28"/>
      <c r="F273" s="28">
        <v>0</v>
      </c>
      <c r="G273" s="233">
        <f t="shared" si="33"/>
        <v>0</v>
      </c>
    </row>
    <row r="274" spans="1:7" hidden="1" x14ac:dyDescent="0.25">
      <c r="A274" s="231" t="s">
        <v>18</v>
      </c>
      <c r="B274" s="201" t="s">
        <v>7</v>
      </c>
      <c r="C274" s="201" t="s">
        <v>354</v>
      </c>
      <c r="D274" s="231"/>
      <c r="E274" s="232"/>
      <c r="F274" s="232">
        <v>12982.05</v>
      </c>
      <c r="G274" s="233">
        <f t="shared" si="33"/>
        <v>12982.05</v>
      </c>
    </row>
    <row r="275" spans="1:7" hidden="1" x14ac:dyDescent="0.25">
      <c r="A275" s="289" t="s">
        <v>23</v>
      </c>
      <c r="B275" s="291" t="s">
        <v>132</v>
      </c>
      <c r="C275" s="201" t="s">
        <v>404</v>
      </c>
      <c r="D275" s="231"/>
      <c r="E275" s="232"/>
      <c r="F275" s="232">
        <f>35440</f>
        <v>35440</v>
      </c>
      <c r="G275" s="233">
        <f>SUM(E275:F275)</f>
        <v>35440</v>
      </c>
    </row>
    <row r="276" spans="1:7" hidden="1" x14ac:dyDescent="0.25">
      <c r="A276" s="290"/>
      <c r="B276" s="292"/>
      <c r="C276" s="244" t="s">
        <v>374</v>
      </c>
      <c r="D276" s="231"/>
      <c r="E276" s="232"/>
      <c r="F276" s="232">
        <f>14690.6+4632.09+3715.9+23589+23589+20679.69</f>
        <v>90896.28</v>
      </c>
      <c r="G276" s="233">
        <f>SUM(E276:F276)</f>
        <v>90896.28</v>
      </c>
    </row>
    <row r="277" spans="1:7" hidden="1" x14ac:dyDescent="0.25">
      <c r="A277" s="251" t="s">
        <v>24</v>
      </c>
      <c r="B277" s="252" t="s">
        <v>414</v>
      </c>
      <c r="C277" s="244" t="s">
        <v>415</v>
      </c>
      <c r="D277" s="231"/>
      <c r="E277" s="232"/>
      <c r="F277" s="232">
        <f>20363.19+26585.56</f>
        <v>46948.75</v>
      </c>
      <c r="G277" s="233">
        <f>SUM(E277:F277)</f>
        <v>46948.75</v>
      </c>
    </row>
    <row r="278" spans="1:7" hidden="1" x14ac:dyDescent="0.25">
      <c r="A278" s="284" t="s">
        <v>22</v>
      </c>
      <c r="B278" s="284"/>
      <c r="C278" s="284"/>
      <c r="D278" s="234"/>
      <c r="E278" s="235">
        <f>SUM(E270:E276)</f>
        <v>0</v>
      </c>
      <c r="F278" s="235">
        <f>SUM(F270:F277)</f>
        <v>777262.38000000012</v>
      </c>
      <c r="G278" s="236">
        <f>SUM(G270:G277)</f>
        <v>777262.38000000012</v>
      </c>
    </row>
    <row r="279" spans="1:7" hidden="1" x14ac:dyDescent="0.25">
      <c r="A279" s="230">
        <v>4</v>
      </c>
      <c r="B279" s="283" t="s">
        <v>192</v>
      </c>
      <c r="C279" s="283"/>
      <c r="D279" s="283"/>
      <c r="E279" s="283"/>
      <c r="F279" s="283"/>
      <c r="G279" s="283"/>
    </row>
    <row r="280" spans="1:7" hidden="1" x14ac:dyDescent="0.25">
      <c r="A280" s="284" t="s">
        <v>22</v>
      </c>
      <c r="B280" s="284"/>
      <c r="C280" s="284"/>
      <c r="D280" s="234"/>
      <c r="E280" s="235">
        <v>0</v>
      </c>
      <c r="F280" s="235">
        <v>0</v>
      </c>
      <c r="G280" s="236">
        <v>0</v>
      </c>
    </row>
    <row r="281" spans="1:7" hidden="1" x14ac:dyDescent="0.25">
      <c r="A281" s="230">
        <v>5</v>
      </c>
      <c r="B281" s="285" t="s">
        <v>193</v>
      </c>
      <c r="C281" s="286"/>
      <c r="D281" s="286"/>
      <c r="E281" s="286"/>
      <c r="F281" s="286"/>
      <c r="G281" s="287"/>
    </row>
    <row r="282" spans="1:7" ht="25.5" hidden="1" x14ac:dyDescent="0.25">
      <c r="A282" s="231" t="s">
        <v>32</v>
      </c>
      <c r="B282" s="190" t="s">
        <v>3</v>
      </c>
      <c r="C282" s="201" t="s">
        <v>19</v>
      </c>
      <c r="D282" s="231"/>
      <c r="E282" s="232"/>
      <c r="F282" s="232"/>
      <c r="G282" s="232">
        <f>SUM(E282:F282)</f>
        <v>0</v>
      </c>
    </row>
    <row r="283" spans="1:7" hidden="1" x14ac:dyDescent="0.25">
      <c r="A283" s="284" t="s">
        <v>22</v>
      </c>
      <c r="B283" s="284"/>
      <c r="C283" s="284"/>
      <c r="D283" s="234"/>
      <c r="E283" s="235">
        <f>E282</f>
        <v>0</v>
      </c>
      <c r="F283" s="235">
        <f>F282</f>
        <v>0</v>
      </c>
      <c r="G283" s="236">
        <f>SUM(E283:F283)</f>
        <v>0</v>
      </c>
    </row>
    <row r="284" spans="1:7" ht="5.25" hidden="1" customHeight="1" x14ac:dyDescent="0.25">
      <c r="A284" s="288" t="s">
        <v>1</v>
      </c>
      <c r="B284" s="288"/>
      <c r="C284" s="288"/>
      <c r="D284" s="288"/>
      <c r="E284" s="237">
        <f>E266+E268+E278+E280+E283</f>
        <v>0</v>
      </c>
      <c r="F284" s="237">
        <f>F266+F268++F280+F283+F278</f>
        <v>884345.60000000009</v>
      </c>
      <c r="G284" s="237">
        <f>G266+G268+G278+G280+G283</f>
        <v>884345.60000000009</v>
      </c>
    </row>
    <row r="285" spans="1:7" ht="18" hidden="1" customHeight="1" x14ac:dyDescent="0.25">
      <c r="A285" s="282" t="s">
        <v>33</v>
      </c>
      <c r="B285" s="282"/>
      <c r="C285" s="238"/>
      <c r="D285" s="239"/>
      <c r="E285" s="240"/>
      <c r="F285" s="240"/>
      <c r="G285" s="240"/>
    </row>
  </sheetData>
  <mergeCells count="185">
    <mergeCell ref="A8:C8"/>
    <mergeCell ref="B9:G9"/>
    <mergeCell ref="A10:C10"/>
    <mergeCell ref="B11:G11"/>
    <mergeCell ref="A1:G1"/>
    <mergeCell ref="A2:G2"/>
    <mergeCell ref="B3:G3"/>
    <mergeCell ref="A5:G5"/>
    <mergeCell ref="B7:G7"/>
    <mergeCell ref="A13:A14"/>
    <mergeCell ref="B13:B14"/>
    <mergeCell ref="A61:C61"/>
    <mergeCell ref="B62:G62"/>
    <mergeCell ref="A63:C63"/>
    <mergeCell ref="A50:C50"/>
    <mergeCell ref="B51:G51"/>
    <mergeCell ref="A52:C52"/>
    <mergeCell ref="B53:G53"/>
    <mergeCell ref="B41:G41"/>
    <mergeCell ref="A43:C43"/>
    <mergeCell ref="A44:D44"/>
    <mergeCell ref="A45:B45"/>
    <mergeCell ref="A47:G47"/>
    <mergeCell ref="B49:G49"/>
    <mergeCell ref="B34:G34"/>
    <mergeCell ref="A33:C33"/>
    <mergeCell ref="A19:C19"/>
    <mergeCell ref="B20:G20"/>
    <mergeCell ref="A21:C21"/>
    <mergeCell ref="B22:G22"/>
    <mergeCell ref="A24:C24"/>
    <mergeCell ref="A25:D25"/>
    <mergeCell ref="A16:A17"/>
    <mergeCell ref="B16:B17"/>
    <mergeCell ref="B64:G64"/>
    <mergeCell ref="A66:C66"/>
    <mergeCell ref="A67:D67"/>
    <mergeCell ref="A38:C38"/>
    <mergeCell ref="B39:G39"/>
    <mergeCell ref="A40:C40"/>
    <mergeCell ref="A26:B26"/>
    <mergeCell ref="A28:G28"/>
    <mergeCell ref="B30:G30"/>
    <mergeCell ref="A31:C31"/>
    <mergeCell ref="B32:G32"/>
    <mergeCell ref="B72:G72"/>
    <mergeCell ref="A73:C73"/>
    <mergeCell ref="B74:G74"/>
    <mergeCell ref="A75:C75"/>
    <mergeCell ref="B76:G76"/>
    <mergeCell ref="A70:G70"/>
    <mergeCell ref="A68:B68"/>
    <mergeCell ref="A56:A57"/>
    <mergeCell ref="B56:B57"/>
    <mergeCell ref="B87:G87"/>
    <mergeCell ref="A89:C89"/>
    <mergeCell ref="A90:D90"/>
    <mergeCell ref="A91:B91"/>
    <mergeCell ref="A93:G93"/>
    <mergeCell ref="A79:A80"/>
    <mergeCell ref="B79:B80"/>
    <mergeCell ref="A84:C84"/>
    <mergeCell ref="B85:G85"/>
    <mergeCell ref="A86:C86"/>
    <mergeCell ref="A102:A103"/>
    <mergeCell ref="B102:B103"/>
    <mergeCell ref="A106:C106"/>
    <mergeCell ref="B107:G107"/>
    <mergeCell ref="A108:C108"/>
    <mergeCell ref="B95:G95"/>
    <mergeCell ref="A96:C96"/>
    <mergeCell ref="B97:G97"/>
    <mergeCell ref="A98:C98"/>
    <mergeCell ref="B99:G99"/>
    <mergeCell ref="B117:G117"/>
    <mergeCell ref="A118:C118"/>
    <mergeCell ref="B119:G119"/>
    <mergeCell ref="A120:C120"/>
    <mergeCell ref="B121:G121"/>
    <mergeCell ref="B109:G109"/>
    <mergeCell ref="A111:C111"/>
    <mergeCell ref="A112:D112"/>
    <mergeCell ref="A113:B113"/>
    <mergeCell ref="A115:G115"/>
    <mergeCell ref="B132:G132"/>
    <mergeCell ref="A134:C134"/>
    <mergeCell ref="A135:D135"/>
    <mergeCell ref="A136:B136"/>
    <mergeCell ref="A138:G138"/>
    <mergeCell ref="A124:A125"/>
    <mergeCell ref="B124:B125"/>
    <mergeCell ref="A129:C129"/>
    <mergeCell ref="B130:G130"/>
    <mergeCell ref="A131:C131"/>
    <mergeCell ref="A148:A149"/>
    <mergeCell ref="B148:B149"/>
    <mergeCell ref="A152:C152"/>
    <mergeCell ref="B153:G153"/>
    <mergeCell ref="A154:C154"/>
    <mergeCell ref="B140:G140"/>
    <mergeCell ref="A141:C141"/>
    <mergeCell ref="B142:G142"/>
    <mergeCell ref="A144:C144"/>
    <mergeCell ref="B145:G145"/>
    <mergeCell ref="B163:G163"/>
    <mergeCell ref="A165:C165"/>
    <mergeCell ref="B166:G166"/>
    <mergeCell ref="A169:C169"/>
    <mergeCell ref="B170:G170"/>
    <mergeCell ref="B155:G155"/>
    <mergeCell ref="A157:C157"/>
    <mergeCell ref="A158:D158"/>
    <mergeCell ref="A159:B159"/>
    <mergeCell ref="A161:G161"/>
    <mergeCell ref="B181:G181"/>
    <mergeCell ref="A183:C183"/>
    <mergeCell ref="A184:D184"/>
    <mergeCell ref="A185:B185"/>
    <mergeCell ref="A187:G187"/>
    <mergeCell ref="A173:A174"/>
    <mergeCell ref="B173:B174"/>
    <mergeCell ref="A178:C178"/>
    <mergeCell ref="B179:G179"/>
    <mergeCell ref="A180:C180"/>
    <mergeCell ref="A197:A198"/>
    <mergeCell ref="B197:B198"/>
    <mergeCell ref="A202:C202"/>
    <mergeCell ref="B203:G203"/>
    <mergeCell ref="A204:C204"/>
    <mergeCell ref="B189:G189"/>
    <mergeCell ref="A190:C190"/>
    <mergeCell ref="B191:G191"/>
    <mergeCell ref="A193:C193"/>
    <mergeCell ref="B194:G194"/>
    <mergeCell ref="B213:G213"/>
    <mergeCell ref="A217:C217"/>
    <mergeCell ref="B218:G218"/>
    <mergeCell ref="A220:C220"/>
    <mergeCell ref="B221:G221"/>
    <mergeCell ref="B205:G205"/>
    <mergeCell ref="A207:C207"/>
    <mergeCell ref="A208:D208"/>
    <mergeCell ref="A209:B209"/>
    <mergeCell ref="A211:G211"/>
    <mergeCell ref="B233:G233"/>
    <mergeCell ref="A235:C235"/>
    <mergeCell ref="A236:D236"/>
    <mergeCell ref="A237:B237"/>
    <mergeCell ref="A239:G239"/>
    <mergeCell ref="A224:A225"/>
    <mergeCell ref="B224:B225"/>
    <mergeCell ref="A228:C228"/>
    <mergeCell ref="B229:G229"/>
    <mergeCell ref="A232:C232"/>
    <mergeCell ref="A249:A250"/>
    <mergeCell ref="B249:B250"/>
    <mergeCell ref="A253:C253"/>
    <mergeCell ref="B254:G254"/>
    <mergeCell ref="A255:C255"/>
    <mergeCell ref="B241:G241"/>
    <mergeCell ref="A243:C243"/>
    <mergeCell ref="B244:G244"/>
    <mergeCell ref="A245:C245"/>
    <mergeCell ref="B246:G246"/>
    <mergeCell ref="B264:G264"/>
    <mergeCell ref="A266:C266"/>
    <mergeCell ref="B267:G267"/>
    <mergeCell ref="A268:C268"/>
    <mergeCell ref="B269:G269"/>
    <mergeCell ref="B256:G256"/>
    <mergeCell ref="A258:C258"/>
    <mergeCell ref="A259:D259"/>
    <mergeCell ref="A260:B260"/>
    <mergeCell ref="A262:G262"/>
    <mergeCell ref="A285:B285"/>
    <mergeCell ref="B279:G279"/>
    <mergeCell ref="A280:C280"/>
    <mergeCell ref="B281:G281"/>
    <mergeCell ref="A283:C283"/>
    <mergeCell ref="A284:D284"/>
    <mergeCell ref="A272:A273"/>
    <mergeCell ref="B272:B273"/>
    <mergeCell ref="A275:A276"/>
    <mergeCell ref="B275:B276"/>
    <mergeCell ref="A278:C278"/>
  </mergeCells>
  <pageMargins left="0.25" right="0.25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3"/>
  <sheetViews>
    <sheetView topLeftCell="A238" workbookViewId="0">
      <selection activeCell="B245" sqref="B245:C245"/>
    </sheetView>
  </sheetViews>
  <sheetFormatPr defaultRowHeight="15" x14ac:dyDescent="0.25"/>
  <cols>
    <col min="1" max="1" width="11" customWidth="1"/>
    <col min="2" max="2" width="58.140625" bestFit="1" customWidth="1"/>
    <col min="3" max="3" width="44" bestFit="1" customWidth="1"/>
    <col min="4" max="4" width="11.5703125" hidden="1" customWidth="1"/>
    <col min="5" max="6" width="14.140625" bestFit="1" customWidth="1"/>
    <col min="7" max="7" width="13.5703125" bestFit="1" customWidth="1"/>
  </cols>
  <sheetData>
    <row r="1" spans="1:7" x14ac:dyDescent="0.25">
      <c r="A1" s="1"/>
      <c r="B1" s="1"/>
      <c r="C1" s="2"/>
      <c r="D1" s="1"/>
      <c r="E1" s="1"/>
      <c r="F1" s="1"/>
      <c r="G1" s="1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92</v>
      </c>
      <c r="B5" s="265"/>
      <c r="C5" s="265"/>
      <c r="D5" s="265"/>
      <c r="E5" s="265"/>
      <c r="F5" s="265"/>
      <c r="G5" s="265"/>
    </row>
    <row r="6" spans="1:7" ht="15.75" x14ac:dyDescent="0.25">
      <c r="A6" s="6"/>
      <c r="B6" s="6"/>
      <c r="C6" s="6"/>
      <c r="D6" s="6"/>
      <c r="E6" s="6"/>
      <c r="F6" s="6"/>
      <c r="G6" s="6"/>
    </row>
    <row r="7" spans="1:7" x14ac:dyDescent="0.25">
      <c r="A7" s="258" t="s">
        <v>88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89</v>
      </c>
      <c r="F8" s="14" t="s">
        <v>90</v>
      </c>
      <c r="G8" s="14" t="s">
        <v>91</v>
      </c>
    </row>
    <row r="9" spans="1:7" x14ac:dyDescent="0.25">
      <c r="A9" s="15">
        <v>1</v>
      </c>
      <c r="B9" s="254" t="s">
        <v>80</v>
      </c>
      <c r="C9" s="254"/>
      <c r="D9" s="254"/>
      <c r="E9" s="254"/>
      <c r="F9" s="254"/>
      <c r="G9" s="254"/>
    </row>
    <row r="10" spans="1:7" s="1" customFormat="1" x14ac:dyDescent="0.25">
      <c r="A10" s="61" t="s">
        <v>48</v>
      </c>
      <c r="B10" s="62" t="s">
        <v>85</v>
      </c>
      <c r="C10" s="62" t="s">
        <v>62</v>
      </c>
      <c r="D10" s="41"/>
      <c r="E10" s="42">
        <v>28710</v>
      </c>
      <c r="F10" s="42">
        <v>0</v>
      </c>
      <c r="G10" s="43">
        <f>E10+F10</f>
        <v>28710</v>
      </c>
    </row>
    <row r="11" spans="1:7" x14ac:dyDescent="0.25">
      <c r="A11" s="253" t="s">
        <v>22</v>
      </c>
      <c r="B11" s="253"/>
      <c r="C11" s="253"/>
      <c r="D11" s="16"/>
      <c r="E11" s="17">
        <f>E10</f>
        <v>28710</v>
      </c>
      <c r="F11" s="17">
        <f>F10</f>
        <v>0</v>
      </c>
      <c r="G11" s="18">
        <f>G10</f>
        <v>28710</v>
      </c>
    </row>
    <row r="12" spans="1:7" x14ac:dyDescent="0.25">
      <c r="A12" s="15">
        <v>2</v>
      </c>
      <c r="B12" s="254" t="s">
        <v>81</v>
      </c>
      <c r="C12" s="254"/>
      <c r="D12" s="254"/>
      <c r="E12" s="254"/>
      <c r="F12" s="254"/>
      <c r="G12" s="254"/>
    </row>
    <row r="13" spans="1:7" x14ac:dyDescent="0.25">
      <c r="A13" s="253" t="s">
        <v>22</v>
      </c>
      <c r="B13" s="253"/>
      <c r="C13" s="253"/>
      <c r="D13" s="16"/>
      <c r="E13" s="19">
        <f>0</f>
        <v>0</v>
      </c>
      <c r="F13" s="19">
        <f>0</f>
        <v>0</v>
      </c>
      <c r="G13" s="20">
        <f>G12</f>
        <v>0</v>
      </c>
    </row>
    <row r="14" spans="1:7" x14ac:dyDescent="0.25">
      <c r="A14" s="15">
        <v>3</v>
      </c>
      <c r="B14" s="254" t="s">
        <v>82</v>
      </c>
      <c r="C14" s="254"/>
      <c r="D14" s="254"/>
      <c r="E14" s="254"/>
      <c r="F14" s="254"/>
      <c r="G14" s="254"/>
    </row>
    <row r="15" spans="1:7" x14ac:dyDescent="0.25">
      <c r="A15" s="31" t="s">
        <v>4</v>
      </c>
      <c r="B15" s="34" t="s">
        <v>51</v>
      </c>
      <c r="C15" s="62" t="s">
        <v>86</v>
      </c>
      <c r="D15" s="31" t="s">
        <v>17</v>
      </c>
      <c r="E15" s="23">
        <v>76263.570000000007</v>
      </c>
      <c r="F15" s="24">
        <v>0</v>
      </c>
      <c r="G15" s="25">
        <f>SUM(E15:F15)</f>
        <v>76263.570000000007</v>
      </c>
    </row>
    <row r="16" spans="1:7" x14ac:dyDescent="0.25">
      <c r="A16" s="59" t="s">
        <v>5</v>
      </c>
      <c r="B16" s="52" t="s">
        <v>77</v>
      </c>
      <c r="C16" s="52" t="s">
        <v>75</v>
      </c>
      <c r="D16" s="27"/>
      <c r="E16" s="28">
        <v>7743.96</v>
      </c>
      <c r="F16" s="29">
        <v>0</v>
      </c>
      <c r="G16" s="30">
        <f t="shared" ref="G16:G18" si="0">SUM(E16:F16)</f>
        <v>7743.96</v>
      </c>
    </row>
    <row r="17" spans="1:7" x14ac:dyDescent="0.25">
      <c r="A17" s="261" t="s">
        <v>6</v>
      </c>
      <c r="B17" s="260" t="s">
        <v>10</v>
      </c>
      <c r="C17" s="32" t="s">
        <v>11</v>
      </c>
      <c r="D17" s="31" t="s">
        <v>20</v>
      </c>
      <c r="E17" s="23">
        <v>0</v>
      </c>
      <c r="F17" s="24">
        <v>0</v>
      </c>
      <c r="G17" s="25">
        <f t="shared" si="0"/>
        <v>0</v>
      </c>
    </row>
    <row r="18" spans="1:7" x14ac:dyDescent="0.25">
      <c r="A18" s="261"/>
      <c r="B18" s="260"/>
      <c r="C18" s="32" t="s">
        <v>86</v>
      </c>
      <c r="D18" s="31"/>
      <c r="E18" s="23">
        <v>20544.47</v>
      </c>
      <c r="F18" s="24">
        <v>0</v>
      </c>
      <c r="G18" s="25">
        <f t="shared" si="0"/>
        <v>20544.47</v>
      </c>
    </row>
    <row r="19" spans="1:7" x14ac:dyDescent="0.25">
      <c r="A19" s="50" t="s">
        <v>18</v>
      </c>
      <c r="B19" s="51" t="s">
        <v>42</v>
      </c>
      <c r="C19" s="52" t="s">
        <v>43</v>
      </c>
      <c r="D19" s="50"/>
      <c r="E19" s="53">
        <f>29656.8+35668.8</f>
        <v>65325.600000000006</v>
      </c>
      <c r="F19" s="54">
        <v>0</v>
      </c>
      <c r="G19" s="69">
        <f>SUM(E19:F19)</f>
        <v>65325.600000000006</v>
      </c>
    </row>
    <row r="20" spans="1:7" s="1" customFormat="1" x14ac:dyDescent="0.25">
      <c r="A20" s="61" t="s">
        <v>23</v>
      </c>
      <c r="B20" s="34" t="s">
        <v>74</v>
      </c>
      <c r="C20" s="62" t="s">
        <v>74</v>
      </c>
      <c r="D20" s="61"/>
      <c r="E20" s="23">
        <v>0</v>
      </c>
      <c r="F20" s="24">
        <v>172529.92000000001</v>
      </c>
      <c r="G20" s="25">
        <f>SUM(E20:F20)</f>
        <v>172529.92000000001</v>
      </c>
    </row>
    <row r="21" spans="1:7" s="1" customFormat="1" x14ac:dyDescent="0.25">
      <c r="A21" s="50" t="s">
        <v>24</v>
      </c>
      <c r="B21" s="51" t="s">
        <v>13</v>
      </c>
      <c r="C21" s="52" t="s">
        <v>14</v>
      </c>
      <c r="D21" s="50"/>
      <c r="E21" s="53">
        <v>0</v>
      </c>
      <c r="F21" s="54">
        <v>9632.2999999999993</v>
      </c>
      <c r="G21" s="69">
        <f>SUM(E21:F21)</f>
        <v>9632.2999999999993</v>
      </c>
    </row>
    <row r="22" spans="1:7" x14ac:dyDescent="0.25">
      <c r="A22" s="253" t="s">
        <v>22</v>
      </c>
      <c r="B22" s="253"/>
      <c r="C22" s="253"/>
      <c r="D22" s="16"/>
      <c r="E22" s="17">
        <f>SUM(E15:E21)</f>
        <v>169877.60000000003</v>
      </c>
      <c r="F22" s="17">
        <f>SUM(F15:F21)</f>
        <v>182162.22</v>
      </c>
      <c r="G22" s="18">
        <f>SUM(G14:G21)</f>
        <v>352039.82</v>
      </c>
    </row>
    <row r="23" spans="1:7" x14ac:dyDescent="0.25">
      <c r="A23" s="15">
        <v>4</v>
      </c>
      <c r="B23" s="254" t="s">
        <v>83</v>
      </c>
      <c r="C23" s="254"/>
      <c r="D23" s="254"/>
      <c r="E23" s="254"/>
      <c r="F23" s="254"/>
      <c r="G23" s="254"/>
    </row>
    <row r="24" spans="1:7" x14ac:dyDescent="0.25">
      <c r="A24" s="253" t="s">
        <v>22</v>
      </c>
      <c r="B24" s="253"/>
      <c r="C24" s="253"/>
      <c r="D24" s="253"/>
      <c r="E24" s="253"/>
      <c r="F24" s="253"/>
      <c r="G24" s="18">
        <v>0</v>
      </c>
    </row>
    <row r="25" spans="1:7" x14ac:dyDescent="0.25">
      <c r="A25" s="15">
        <v>5</v>
      </c>
      <c r="B25" s="267" t="s">
        <v>84</v>
      </c>
      <c r="C25" s="268"/>
      <c r="D25" s="268"/>
      <c r="E25" s="268"/>
      <c r="F25" s="268"/>
      <c r="G25" s="269"/>
    </row>
    <row r="26" spans="1:7" x14ac:dyDescent="0.25">
      <c r="A26" s="31" t="s">
        <v>32</v>
      </c>
      <c r="B26" s="34" t="s">
        <v>3</v>
      </c>
      <c r="C26" s="32" t="s">
        <v>19</v>
      </c>
      <c r="D26" s="31"/>
      <c r="E26" s="23">
        <v>51966.7</v>
      </c>
      <c r="F26" s="24">
        <v>0</v>
      </c>
      <c r="G26" s="25">
        <v>0</v>
      </c>
    </row>
    <row r="27" spans="1:7" x14ac:dyDescent="0.25">
      <c r="A27" s="253" t="s">
        <v>22</v>
      </c>
      <c r="B27" s="253"/>
      <c r="C27" s="253"/>
      <c r="D27" s="16"/>
      <c r="E27" s="17">
        <f>E26</f>
        <v>51966.7</v>
      </c>
      <c r="F27" s="17">
        <f>F26</f>
        <v>0</v>
      </c>
      <c r="G27" s="18">
        <f>E27+F27</f>
        <v>51966.7</v>
      </c>
    </row>
    <row r="28" spans="1:7" x14ac:dyDescent="0.25">
      <c r="A28" s="255" t="s">
        <v>1</v>
      </c>
      <c r="B28" s="255"/>
      <c r="C28" s="255"/>
      <c r="D28" s="255"/>
      <c r="E28" s="39">
        <f>E11+E13+E22+E27</f>
        <v>250554.30000000005</v>
      </c>
      <c r="F28" s="40">
        <f>F22+F27</f>
        <v>182162.22</v>
      </c>
      <c r="G28" s="39">
        <f>E28+F28</f>
        <v>432716.52</v>
      </c>
    </row>
    <row r="29" spans="1:7" x14ac:dyDescent="0.25">
      <c r="A29" s="10" t="s">
        <v>33</v>
      </c>
      <c r="B29" s="10"/>
      <c r="C29" s="11"/>
      <c r="D29" s="12"/>
      <c r="E29" s="12"/>
      <c r="F29" s="12"/>
      <c r="G29" s="12"/>
    </row>
    <row r="30" spans="1:7" x14ac:dyDescent="0.25">
      <c r="A30" s="1"/>
      <c r="B30" s="1"/>
      <c r="C30" s="2"/>
      <c r="D30" s="1"/>
      <c r="E30" s="1"/>
      <c r="F30" s="1"/>
      <c r="G30" s="1"/>
    </row>
    <row r="31" spans="1:7" x14ac:dyDescent="0.25">
      <c r="A31" s="262" t="s">
        <v>93</v>
      </c>
      <c r="B31" s="263"/>
      <c r="C31" s="263"/>
      <c r="D31" s="263"/>
      <c r="E31" s="263"/>
      <c r="F31" s="263"/>
      <c r="G31" s="264"/>
    </row>
    <row r="32" spans="1:7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89</v>
      </c>
      <c r="F32" s="14" t="s">
        <v>90</v>
      </c>
      <c r="G32" s="14" t="s">
        <v>91</v>
      </c>
    </row>
    <row r="33" spans="1:7" x14ac:dyDescent="0.25">
      <c r="A33" s="15">
        <v>1</v>
      </c>
      <c r="B33" s="254" t="s">
        <v>80</v>
      </c>
      <c r="C33" s="254"/>
      <c r="D33" s="254"/>
      <c r="E33" s="254"/>
      <c r="F33" s="254"/>
      <c r="G33" s="254"/>
    </row>
    <row r="34" spans="1:7" x14ac:dyDescent="0.25">
      <c r="A34" s="253" t="s">
        <v>22</v>
      </c>
      <c r="B34" s="253"/>
      <c r="C34" s="253"/>
      <c r="D34" s="16"/>
      <c r="E34" s="17">
        <f>0</f>
        <v>0</v>
      </c>
      <c r="F34" s="17">
        <v>0</v>
      </c>
      <c r="G34" s="18">
        <v>0</v>
      </c>
    </row>
    <row r="35" spans="1:7" x14ac:dyDescent="0.25">
      <c r="A35" s="15">
        <v>2</v>
      </c>
      <c r="B35" s="254" t="s">
        <v>81</v>
      </c>
      <c r="C35" s="254"/>
      <c r="D35" s="254"/>
      <c r="E35" s="254"/>
      <c r="F35" s="254"/>
      <c r="G35" s="254"/>
    </row>
    <row r="36" spans="1:7" x14ac:dyDescent="0.25">
      <c r="A36" s="253" t="s">
        <v>22</v>
      </c>
      <c r="B36" s="253"/>
      <c r="C36" s="253"/>
      <c r="D36" s="16"/>
      <c r="E36" s="19">
        <f>0</f>
        <v>0</v>
      </c>
      <c r="F36" s="19">
        <f>0</f>
        <v>0</v>
      </c>
      <c r="G36" s="20">
        <f>G35</f>
        <v>0</v>
      </c>
    </row>
    <row r="37" spans="1:7" x14ac:dyDescent="0.25">
      <c r="A37" s="15">
        <v>3</v>
      </c>
      <c r="B37" s="254" t="s">
        <v>82</v>
      </c>
      <c r="C37" s="254"/>
      <c r="D37" s="254"/>
      <c r="E37" s="254"/>
      <c r="F37" s="254"/>
      <c r="G37" s="254"/>
    </row>
    <row r="38" spans="1:7" x14ac:dyDescent="0.25">
      <c r="A38" s="61" t="s">
        <v>4</v>
      </c>
      <c r="B38" s="34" t="s">
        <v>13</v>
      </c>
      <c r="C38" s="32" t="s">
        <v>14</v>
      </c>
      <c r="D38" s="31" t="s">
        <v>21</v>
      </c>
      <c r="E38" s="23">
        <v>0</v>
      </c>
      <c r="F38" s="24">
        <v>8356.59</v>
      </c>
      <c r="G38" s="25">
        <f t="shared" ref="G38:G43" si="1">SUM(E38:F38)</f>
        <v>8356.59</v>
      </c>
    </row>
    <row r="39" spans="1:7" x14ac:dyDescent="0.25">
      <c r="A39" s="44" t="s">
        <v>5</v>
      </c>
      <c r="B39" s="45" t="s">
        <v>0</v>
      </c>
      <c r="C39" s="46" t="s">
        <v>31</v>
      </c>
      <c r="D39" s="44"/>
      <c r="E39" s="47">
        <v>0</v>
      </c>
      <c r="F39" s="48">
        <f>30436.68+5997.83+164823.03</f>
        <v>201257.54</v>
      </c>
      <c r="G39" s="47">
        <f t="shared" si="1"/>
        <v>201257.54</v>
      </c>
    </row>
    <row r="40" spans="1:7" s="1" customFormat="1" x14ac:dyDescent="0.25">
      <c r="A40" s="70" t="s">
        <v>6</v>
      </c>
      <c r="B40" s="71" t="s">
        <v>104</v>
      </c>
      <c r="C40" s="72" t="s">
        <v>104</v>
      </c>
      <c r="D40" s="70"/>
      <c r="E40" s="73">
        <v>2025</v>
      </c>
      <c r="F40" s="74">
        <v>2700</v>
      </c>
      <c r="G40" s="47">
        <f t="shared" si="1"/>
        <v>4725</v>
      </c>
    </row>
    <row r="41" spans="1:7" s="1" customFormat="1" x14ac:dyDescent="0.25">
      <c r="A41" s="44" t="s">
        <v>18</v>
      </c>
      <c r="B41" s="33" t="s">
        <v>51</v>
      </c>
      <c r="C41" s="60" t="s">
        <v>86</v>
      </c>
      <c r="D41" s="44"/>
      <c r="E41" s="47">
        <v>0</v>
      </c>
      <c r="F41" s="48">
        <v>76263.570000000007</v>
      </c>
      <c r="G41" s="47">
        <f t="shared" si="1"/>
        <v>76263.570000000007</v>
      </c>
    </row>
    <row r="42" spans="1:7" s="1" customFormat="1" x14ac:dyDescent="0.25">
      <c r="A42" s="70" t="s">
        <v>23</v>
      </c>
      <c r="B42" s="34" t="s">
        <v>10</v>
      </c>
      <c r="C42" s="62" t="s">
        <v>86</v>
      </c>
      <c r="D42" s="70"/>
      <c r="E42" s="73">
        <v>0</v>
      </c>
      <c r="F42" s="74">
        <v>20544.47</v>
      </c>
      <c r="G42" s="47">
        <f t="shared" si="1"/>
        <v>20544.47</v>
      </c>
    </row>
    <row r="43" spans="1:7" s="1" customFormat="1" x14ac:dyDescent="0.25">
      <c r="A43" s="70" t="s">
        <v>24</v>
      </c>
      <c r="B43" s="34" t="s">
        <v>105</v>
      </c>
      <c r="C43" s="62" t="s">
        <v>106</v>
      </c>
      <c r="D43" s="70"/>
      <c r="E43" s="73">
        <v>0</v>
      </c>
      <c r="F43" s="74">
        <v>79.599999999999994</v>
      </c>
      <c r="G43" s="47">
        <f t="shared" si="1"/>
        <v>79.599999999999994</v>
      </c>
    </row>
    <row r="44" spans="1:7" x14ac:dyDescent="0.25">
      <c r="A44" s="253" t="s">
        <v>22</v>
      </c>
      <c r="B44" s="253"/>
      <c r="C44" s="253"/>
      <c r="D44" s="16"/>
      <c r="E44" s="17">
        <f>SUM(E38:E43)</f>
        <v>2025</v>
      </c>
      <c r="F44" s="17">
        <f>SUM(F38:F43)</f>
        <v>309201.77</v>
      </c>
      <c r="G44" s="18">
        <f>SUM(G38:G43)</f>
        <v>311226.77</v>
      </c>
    </row>
    <row r="45" spans="1:7" x14ac:dyDescent="0.25">
      <c r="A45" s="15">
        <v>4</v>
      </c>
      <c r="B45" s="254" t="s">
        <v>83</v>
      </c>
      <c r="C45" s="254"/>
      <c r="D45" s="254"/>
      <c r="E45" s="254"/>
      <c r="F45" s="254"/>
      <c r="G45" s="254"/>
    </row>
    <row r="46" spans="1:7" x14ac:dyDescent="0.25">
      <c r="A46" s="253" t="s">
        <v>22</v>
      </c>
      <c r="B46" s="253"/>
      <c r="C46" s="253"/>
      <c r="D46" s="253"/>
      <c r="E46" s="253"/>
      <c r="F46" s="253"/>
      <c r="G46" s="18">
        <v>0</v>
      </c>
    </row>
    <row r="47" spans="1:7" x14ac:dyDescent="0.25">
      <c r="A47" s="15">
        <v>5</v>
      </c>
      <c r="B47" s="35" t="s">
        <v>84</v>
      </c>
      <c r="C47" s="35"/>
      <c r="D47" s="15" t="s">
        <v>26</v>
      </c>
      <c r="E47" s="36"/>
      <c r="F47" s="37"/>
      <c r="G47" s="38">
        <f>SUM(E47:F47)</f>
        <v>0</v>
      </c>
    </row>
    <row r="48" spans="1:7" x14ac:dyDescent="0.25">
      <c r="A48" s="31" t="s">
        <v>32</v>
      </c>
      <c r="B48" s="34" t="s">
        <v>3</v>
      </c>
      <c r="C48" s="32" t="s">
        <v>19</v>
      </c>
      <c r="D48" s="31"/>
      <c r="E48" s="23">
        <v>0</v>
      </c>
      <c r="F48" s="24">
        <v>31492.46</v>
      </c>
      <c r="G48" s="25">
        <f>SUM(E48:F48)</f>
        <v>31492.46</v>
      </c>
    </row>
    <row r="49" spans="1:7" x14ac:dyDescent="0.25">
      <c r="A49" s="253" t="s">
        <v>22</v>
      </c>
      <c r="B49" s="253"/>
      <c r="C49" s="253"/>
      <c r="D49" s="16"/>
      <c r="E49" s="17">
        <f>E48</f>
        <v>0</v>
      </c>
      <c r="F49" s="17">
        <f>F48</f>
        <v>31492.46</v>
      </c>
      <c r="G49" s="18">
        <f>E49+F49</f>
        <v>31492.46</v>
      </c>
    </row>
    <row r="50" spans="1:7" x14ac:dyDescent="0.25">
      <c r="A50" s="255" t="s">
        <v>1</v>
      </c>
      <c r="B50" s="255"/>
      <c r="C50" s="255"/>
      <c r="D50" s="255"/>
      <c r="E50" s="39">
        <f>E34+E36+E44+E49</f>
        <v>2025</v>
      </c>
      <c r="F50" s="40">
        <f>F44+F49+F36+F34</f>
        <v>340694.23000000004</v>
      </c>
      <c r="G50" s="39">
        <f>E50+F50</f>
        <v>342719.23000000004</v>
      </c>
    </row>
    <row r="51" spans="1:7" x14ac:dyDescent="0.25">
      <c r="A51" s="266" t="s">
        <v>33</v>
      </c>
      <c r="B51" s="266"/>
      <c r="C51" s="266"/>
      <c r="D51" s="266"/>
      <c r="E51" s="266"/>
      <c r="F51" s="266"/>
      <c r="G51" s="266"/>
    </row>
    <row r="52" spans="1:7" x14ac:dyDescent="0.25">
      <c r="A52" s="12"/>
      <c r="B52" s="12"/>
      <c r="C52" s="11"/>
      <c r="D52" s="12"/>
      <c r="E52" s="12"/>
      <c r="F52" s="12"/>
      <c r="G52" s="12"/>
    </row>
    <row r="53" spans="1:7" x14ac:dyDescent="0.25">
      <c r="A53" s="258" t="s">
        <v>94</v>
      </c>
      <c r="B53" s="258"/>
      <c r="C53" s="258"/>
      <c r="D53" s="258"/>
      <c r="E53" s="258"/>
      <c r="F53" s="258"/>
      <c r="G53" s="258"/>
    </row>
    <row r="54" spans="1:7" ht="38.25" x14ac:dyDescent="0.25">
      <c r="A54" s="13" t="s">
        <v>27</v>
      </c>
      <c r="B54" s="13" t="s">
        <v>28</v>
      </c>
      <c r="C54" s="13" t="s">
        <v>29</v>
      </c>
      <c r="D54" s="13" t="s">
        <v>2</v>
      </c>
      <c r="E54" s="14" t="s">
        <v>89</v>
      </c>
      <c r="F54" s="14" t="s">
        <v>90</v>
      </c>
      <c r="G54" s="14" t="s">
        <v>91</v>
      </c>
    </row>
    <row r="55" spans="1:7" x14ac:dyDescent="0.25">
      <c r="A55" s="15">
        <v>1</v>
      </c>
      <c r="B55" s="254" t="s">
        <v>80</v>
      </c>
      <c r="C55" s="254"/>
      <c r="D55" s="254"/>
      <c r="E55" s="254"/>
      <c r="F55" s="254"/>
      <c r="G55" s="254"/>
    </row>
    <row r="56" spans="1:7" x14ac:dyDescent="0.25">
      <c r="A56" s="31" t="s">
        <v>48</v>
      </c>
      <c r="B56" s="32" t="s">
        <v>85</v>
      </c>
      <c r="C56" s="32" t="s">
        <v>62</v>
      </c>
      <c r="D56" s="41"/>
      <c r="E56" s="49">
        <v>0</v>
      </c>
      <c r="F56" s="42">
        <v>74276</v>
      </c>
      <c r="G56" s="43">
        <f>E56+F56</f>
        <v>74276</v>
      </c>
    </row>
    <row r="57" spans="1:7" x14ac:dyDescent="0.25">
      <c r="A57" s="253" t="s">
        <v>22</v>
      </c>
      <c r="B57" s="253"/>
      <c r="C57" s="253"/>
      <c r="D57" s="16"/>
      <c r="E57" s="17">
        <f>0</f>
        <v>0</v>
      </c>
      <c r="F57" s="17">
        <f>F56</f>
        <v>74276</v>
      </c>
      <c r="G57" s="18">
        <f>G56</f>
        <v>74276</v>
      </c>
    </row>
    <row r="58" spans="1:7" x14ac:dyDescent="0.25">
      <c r="A58" s="15">
        <v>2</v>
      </c>
      <c r="B58" s="254" t="s">
        <v>81</v>
      </c>
      <c r="C58" s="254"/>
      <c r="D58" s="254"/>
      <c r="E58" s="254"/>
      <c r="F58" s="254"/>
      <c r="G58" s="254"/>
    </row>
    <row r="59" spans="1:7" x14ac:dyDescent="0.25">
      <c r="A59" s="253" t="s">
        <v>22</v>
      </c>
      <c r="B59" s="253"/>
      <c r="C59" s="253"/>
      <c r="D59" s="16"/>
      <c r="E59" s="19">
        <f>0</f>
        <v>0</v>
      </c>
      <c r="F59" s="19">
        <f>0</f>
        <v>0</v>
      </c>
      <c r="G59" s="20">
        <f>G58</f>
        <v>0</v>
      </c>
    </row>
    <row r="60" spans="1:7" x14ac:dyDescent="0.25">
      <c r="A60" s="15">
        <v>3</v>
      </c>
      <c r="B60" s="254" t="s">
        <v>82</v>
      </c>
      <c r="C60" s="254"/>
      <c r="D60" s="254"/>
      <c r="E60" s="254"/>
      <c r="F60" s="254"/>
      <c r="G60" s="254"/>
    </row>
    <row r="61" spans="1:7" x14ac:dyDescent="0.25">
      <c r="A61" s="61" t="s">
        <v>4</v>
      </c>
      <c r="B61" s="32" t="s">
        <v>15</v>
      </c>
      <c r="C61" s="32" t="s">
        <v>16</v>
      </c>
      <c r="D61" s="31" t="s">
        <v>17</v>
      </c>
      <c r="E61" s="23">
        <v>0</v>
      </c>
      <c r="F61" s="24">
        <v>38016</v>
      </c>
      <c r="G61" s="25">
        <f t="shared" ref="G61:G66" si="2">SUM(E61:F61)</f>
        <v>38016</v>
      </c>
    </row>
    <row r="62" spans="1:7" x14ac:dyDescent="0.25">
      <c r="A62" s="59" t="s">
        <v>5</v>
      </c>
      <c r="B62" s="33" t="s">
        <v>51</v>
      </c>
      <c r="C62" s="26" t="s">
        <v>86</v>
      </c>
      <c r="D62" s="27"/>
      <c r="E62" s="28">
        <v>0</v>
      </c>
      <c r="F62" s="29">
        <v>76263.570000000007</v>
      </c>
      <c r="G62" s="30"/>
    </row>
    <row r="63" spans="1:7" x14ac:dyDescent="0.25">
      <c r="A63" s="261" t="s">
        <v>6</v>
      </c>
      <c r="B63" s="260" t="s">
        <v>10</v>
      </c>
      <c r="C63" s="32" t="s">
        <v>11</v>
      </c>
      <c r="D63" s="31" t="s">
        <v>20</v>
      </c>
      <c r="E63" s="23">
        <v>0</v>
      </c>
      <c r="F63" s="24">
        <v>0</v>
      </c>
      <c r="G63" s="25">
        <f t="shared" si="2"/>
        <v>0</v>
      </c>
    </row>
    <row r="64" spans="1:7" x14ac:dyDescent="0.25">
      <c r="A64" s="261"/>
      <c r="B64" s="260"/>
      <c r="C64" s="32" t="s">
        <v>86</v>
      </c>
      <c r="D64" s="31"/>
      <c r="E64" s="23">
        <v>0</v>
      </c>
      <c r="F64" s="24">
        <v>20544.47</v>
      </c>
      <c r="G64" s="25">
        <f t="shared" si="2"/>
        <v>20544.47</v>
      </c>
    </row>
    <row r="65" spans="1:7" x14ac:dyDescent="0.25">
      <c r="A65" s="59" t="s">
        <v>18</v>
      </c>
      <c r="B65" s="33" t="s">
        <v>13</v>
      </c>
      <c r="C65" s="26" t="s">
        <v>14</v>
      </c>
      <c r="D65" s="27" t="s">
        <v>21</v>
      </c>
      <c r="E65" s="28">
        <v>0</v>
      </c>
      <c r="F65" s="29">
        <f>408+7962</f>
        <v>8370</v>
      </c>
      <c r="G65" s="30">
        <f t="shared" si="2"/>
        <v>8370</v>
      </c>
    </row>
    <row r="66" spans="1:7" x14ac:dyDescent="0.25">
      <c r="A66" s="61" t="s">
        <v>23</v>
      </c>
      <c r="B66" s="34" t="s">
        <v>0</v>
      </c>
      <c r="C66" s="32" t="s">
        <v>31</v>
      </c>
      <c r="D66" s="31"/>
      <c r="E66" s="23">
        <v>0</v>
      </c>
      <c r="F66" s="24">
        <v>175238.43</v>
      </c>
      <c r="G66" s="25">
        <f t="shared" si="2"/>
        <v>175238.43</v>
      </c>
    </row>
    <row r="67" spans="1:7" s="1" customFormat="1" x14ac:dyDescent="0.25">
      <c r="A67" s="59" t="s">
        <v>24</v>
      </c>
      <c r="B67" s="33" t="s">
        <v>104</v>
      </c>
      <c r="C67" s="60" t="s">
        <v>104</v>
      </c>
      <c r="D67" s="59"/>
      <c r="E67" s="28">
        <v>0</v>
      </c>
      <c r="F67" s="29">
        <v>2700</v>
      </c>
      <c r="G67" s="30">
        <v>0</v>
      </c>
    </row>
    <row r="68" spans="1:7" x14ac:dyDescent="0.25">
      <c r="A68" s="253" t="s">
        <v>22</v>
      </c>
      <c r="B68" s="253"/>
      <c r="C68" s="253"/>
      <c r="D68" s="16"/>
      <c r="E68" s="17">
        <f>SUM(E61:E67)</f>
        <v>0</v>
      </c>
      <c r="F68" s="17">
        <f>SUM(F61:F67)</f>
        <v>321132.46999999997</v>
      </c>
      <c r="G68" s="18">
        <f>SUM(G60:G66)</f>
        <v>242168.9</v>
      </c>
    </row>
    <row r="69" spans="1:7" x14ac:dyDescent="0.25">
      <c r="A69" s="15">
        <v>4</v>
      </c>
      <c r="B69" s="254" t="s">
        <v>83</v>
      </c>
      <c r="C69" s="254"/>
      <c r="D69" s="254"/>
      <c r="E69" s="254"/>
      <c r="F69" s="254"/>
      <c r="G69" s="254"/>
    </row>
    <row r="70" spans="1:7" x14ac:dyDescent="0.25">
      <c r="A70" s="253" t="s">
        <v>22</v>
      </c>
      <c r="B70" s="253"/>
      <c r="C70" s="253"/>
      <c r="D70" s="253"/>
      <c r="E70" s="253"/>
      <c r="F70" s="253"/>
      <c r="G70" s="18">
        <v>0</v>
      </c>
    </row>
    <row r="71" spans="1:7" x14ac:dyDescent="0.25">
      <c r="A71" s="15">
        <v>5</v>
      </c>
      <c r="B71" s="35" t="s">
        <v>84</v>
      </c>
      <c r="C71" s="35"/>
      <c r="D71" s="15" t="s">
        <v>26</v>
      </c>
      <c r="E71" s="36"/>
      <c r="F71" s="37"/>
      <c r="G71" s="38">
        <f>SUM(E71:F71)</f>
        <v>0</v>
      </c>
    </row>
    <row r="72" spans="1:7" x14ac:dyDescent="0.25">
      <c r="A72" s="31" t="s">
        <v>32</v>
      </c>
      <c r="B72" s="34" t="s">
        <v>3</v>
      </c>
      <c r="C72" s="32" t="s">
        <v>19</v>
      </c>
      <c r="D72" s="31"/>
      <c r="E72" s="23">
        <v>0</v>
      </c>
      <c r="F72" s="24">
        <v>19800.18</v>
      </c>
      <c r="G72" s="25">
        <f>SUM(E72:F72)</f>
        <v>19800.18</v>
      </c>
    </row>
    <row r="73" spans="1:7" x14ac:dyDescent="0.25">
      <c r="A73" s="253" t="s">
        <v>22</v>
      </c>
      <c r="B73" s="253"/>
      <c r="C73" s="253"/>
      <c r="D73" s="16"/>
      <c r="E73" s="17">
        <f>E72</f>
        <v>0</v>
      </c>
      <c r="F73" s="17">
        <f>F72</f>
        <v>19800.18</v>
      </c>
      <c r="G73" s="18">
        <f>E73+F73</f>
        <v>19800.18</v>
      </c>
    </row>
    <row r="74" spans="1:7" x14ac:dyDescent="0.25">
      <c r="A74" s="255" t="s">
        <v>1</v>
      </c>
      <c r="B74" s="255"/>
      <c r="C74" s="255"/>
      <c r="D74" s="255"/>
      <c r="E74" s="39">
        <f>E57+E59+E68+E73</f>
        <v>0</v>
      </c>
      <c r="F74" s="40">
        <f>F68+F73+F59+F57</f>
        <v>415208.64999999997</v>
      </c>
      <c r="G74" s="39">
        <f>E74+F74</f>
        <v>415208.64999999997</v>
      </c>
    </row>
    <row r="75" spans="1:7" x14ac:dyDescent="0.25">
      <c r="A75" s="266" t="s">
        <v>33</v>
      </c>
      <c r="B75" s="266"/>
      <c r="C75" s="266"/>
      <c r="D75" s="266"/>
      <c r="E75" s="266"/>
      <c r="F75" s="266"/>
      <c r="G75" s="266"/>
    </row>
    <row r="76" spans="1:7" x14ac:dyDescent="0.25">
      <c r="A76" s="12"/>
      <c r="B76" s="12"/>
      <c r="C76" s="11"/>
      <c r="D76" s="12"/>
      <c r="E76" s="12"/>
      <c r="F76" s="12"/>
      <c r="G76" s="12"/>
    </row>
    <row r="77" spans="1:7" x14ac:dyDescent="0.25">
      <c r="A77" s="258" t="s">
        <v>95</v>
      </c>
      <c r="B77" s="258"/>
      <c r="C77" s="258"/>
      <c r="D77" s="258"/>
      <c r="E77" s="258"/>
      <c r="F77" s="258"/>
      <c r="G77" s="258"/>
    </row>
    <row r="78" spans="1:7" ht="38.25" x14ac:dyDescent="0.25">
      <c r="A78" s="13" t="s">
        <v>27</v>
      </c>
      <c r="B78" s="13" t="s">
        <v>28</v>
      </c>
      <c r="C78" s="13" t="s">
        <v>29</v>
      </c>
      <c r="D78" s="13" t="s">
        <v>2</v>
      </c>
      <c r="E78" s="14" t="s">
        <v>89</v>
      </c>
      <c r="F78" s="14" t="s">
        <v>90</v>
      </c>
      <c r="G78" s="14" t="s">
        <v>91</v>
      </c>
    </row>
    <row r="79" spans="1:7" x14ac:dyDescent="0.25">
      <c r="A79" s="15">
        <v>1</v>
      </c>
      <c r="B79" s="254" t="s">
        <v>80</v>
      </c>
      <c r="C79" s="254"/>
      <c r="D79" s="254"/>
      <c r="E79" s="254"/>
      <c r="F79" s="254"/>
      <c r="G79" s="254"/>
    </row>
    <row r="80" spans="1:7" x14ac:dyDescent="0.25">
      <c r="A80" s="31" t="s">
        <v>48</v>
      </c>
      <c r="B80" s="32" t="s">
        <v>85</v>
      </c>
      <c r="C80" s="32" t="s">
        <v>62</v>
      </c>
      <c r="D80" s="41"/>
      <c r="E80" s="49">
        <v>0</v>
      </c>
      <c r="F80" s="42">
        <v>34906</v>
      </c>
      <c r="G80" s="43">
        <f>E80+F80</f>
        <v>34906</v>
      </c>
    </row>
    <row r="81" spans="1:7" x14ac:dyDescent="0.25">
      <c r="A81" s="253" t="s">
        <v>22</v>
      </c>
      <c r="B81" s="253"/>
      <c r="C81" s="253"/>
      <c r="D81" s="16"/>
      <c r="E81" s="17">
        <f>0</f>
        <v>0</v>
      </c>
      <c r="F81" s="17">
        <f>F80</f>
        <v>34906</v>
      </c>
      <c r="G81" s="18">
        <f>G80</f>
        <v>34906</v>
      </c>
    </row>
    <row r="82" spans="1:7" x14ac:dyDescent="0.25">
      <c r="A82" s="15">
        <v>2</v>
      </c>
      <c r="B82" s="254" t="s">
        <v>81</v>
      </c>
      <c r="C82" s="254"/>
      <c r="D82" s="254"/>
      <c r="E82" s="254"/>
      <c r="F82" s="254"/>
      <c r="G82" s="254"/>
    </row>
    <row r="83" spans="1:7" x14ac:dyDescent="0.25">
      <c r="A83" s="253" t="s">
        <v>22</v>
      </c>
      <c r="B83" s="253"/>
      <c r="C83" s="253"/>
      <c r="D83" s="16"/>
      <c r="E83" s="19">
        <f>0</f>
        <v>0</v>
      </c>
      <c r="F83" s="19">
        <f>0</f>
        <v>0</v>
      </c>
      <c r="G83" s="20">
        <f>G82</f>
        <v>0</v>
      </c>
    </row>
    <row r="84" spans="1:7" x14ac:dyDescent="0.25">
      <c r="A84" s="15">
        <v>3</v>
      </c>
      <c r="B84" s="254" t="s">
        <v>82</v>
      </c>
      <c r="C84" s="254"/>
      <c r="D84" s="254"/>
      <c r="E84" s="254"/>
      <c r="F84" s="254"/>
      <c r="G84" s="254"/>
    </row>
    <row r="85" spans="1:7" x14ac:dyDescent="0.25">
      <c r="A85" s="27" t="s">
        <v>4</v>
      </c>
      <c r="B85" s="26" t="s">
        <v>15</v>
      </c>
      <c r="C85" s="26" t="s">
        <v>16</v>
      </c>
      <c r="D85" s="27" t="s">
        <v>17</v>
      </c>
      <c r="E85" s="28">
        <v>0</v>
      </c>
      <c r="F85" s="29">
        <v>93312</v>
      </c>
      <c r="G85" s="30">
        <f t="shared" ref="G85:G91" si="3">SUM(E85:F85)</f>
        <v>93312</v>
      </c>
    </row>
    <row r="86" spans="1:7" x14ac:dyDescent="0.25">
      <c r="A86" s="31" t="s">
        <v>5</v>
      </c>
      <c r="B86" s="34" t="s">
        <v>51</v>
      </c>
      <c r="C86" s="32" t="s">
        <v>86</v>
      </c>
      <c r="D86" s="31" t="s">
        <v>12</v>
      </c>
      <c r="E86" s="23">
        <v>0</v>
      </c>
      <c r="F86" s="24">
        <v>76263.570000000007</v>
      </c>
      <c r="G86" s="25">
        <f t="shared" si="3"/>
        <v>76263.570000000007</v>
      </c>
    </row>
    <row r="87" spans="1:7" x14ac:dyDescent="0.25">
      <c r="A87" s="75" t="s">
        <v>6</v>
      </c>
      <c r="B87" s="76" t="s">
        <v>10</v>
      </c>
      <c r="C87" s="26" t="s">
        <v>86</v>
      </c>
      <c r="D87" s="27"/>
      <c r="E87" s="28">
        <v>0</v>
      </c>
      <c r="F87" s="29">
        <v>20544.47</v>
      </c>
      <c r="G87" s="30">
        <f t="shared" si="3"/>
        <v>20544.47</v>
      </c>
    </row>
    <row r="88" spans="1:7" x14ac:dyDescent="0.25">
      <c r="A88" s="31" t="s">
        <v>18</v>
      </c>
      <c r="B88" s="34" t="s">
        <v>13</v>
      </c>
      <c r="C88" s="32" t="s">
        <v>14</v>
      </c>
      <c r="D88" s="31" t="s">
        <v>21</v>
      </c>
      <c r="E88" s="23">
        <v>0</v>
      </c>
      <c r="F88" s="24">
        <v>14545.2</v>
      </c>
      <c r="G88" s="25">
        <f t="shared" si="3"/>
        <v>14545.2</v>
      </c>
    </row>
    <row r="89" spans="1:7" x14ac:dyDescent="0.25">
      <c r="A89" s="27" t="s">
        <v>23</v>
      </c>
      <c r="B89" s="33" t="s">
        <v>0</v>
      </c>
      <c r="C89" s="26" t="s">
        <v>31</v>
      </c>
      <c r="D89" s="27"/>
      <c r="E89" s="28">
        <v>0</v>
      </c>
      <c r="F89" s="29">
        <f>200658.95+587.87</f>
        <v>201246.82</v>
      </c>
      <c r="G89" s="30">
        <f t="shared" si="3"/>
        <v>201246.82</v>
      </c>
    </row>
    <row r="90" spans="1:7" x14ac:dyDescent="0.25">
      <c r="A90" s="31" t="s">
        <v>24</v>
      </c>
      <c r="B90" s="34" t="s">
        <v>104</v>
      </c>
      <c r="C90" s="62" t="s">
        <v>104</v>
      </c>
      <c r="D90" s="31"/>
      <c r="E90" s="23">
        <v>0</v>
      </c>
      <c r="F90" s="24">
        <v>2700</v>
      </c>
      <c r="G90" s="25">
        <f t="shared" si="3"/>
        <v>2700</v>
      </c>
    </row>
    <row r="91" spans="1:7" x14ac:dyDescent="0.25">
      <c r="A91" s="27" t="s">
        <v>25</v>
      </c>
      <c r="B91" s="33" t="s">
        <v>107</v>
      </c>
      <c r="C91" s="60" t="s">
        <v>108</v>
      </c>
      <c r="D91" s="27"/>
      <c r="E91" s="28">
        <v>0</v>
      </c>
      <c r="F91" s="29">
        <v>2530</v>
      </c>
      <c r="G91" s="30">
        <f t="shared" si="3"/>
        <v>2530</v>
      </c>
    </row>
    <row r="92" spans="1:7" x14ac:dyDescent="0.25">
      <c r="A92" s="253" t="s">
        <v>22</v>
      </c>
      <c r="B92" s="253"/>
      <c r="C92" s="253"/>
      <c r="D92" s="16"/>
      <c r="E92" s="17">
        <f>SUM(E85:E91)</f>
        <v>0</v>
      </c>
      <c r="F92" s="17">
        <f>SUM(F85:F91)</f>
        <v>411142.06000000006</v>
      </c>
      <c r="G92" s="18">
        <f>SUM(G84:G91)</f>
        <v>411142.06000000006</v>
      </c>
    </row>
    <row r="93" spans="1:7" x14ac:dyDescent="0.25">
      <c r="A93" s="15">
        <v>4</v>
      </c>
      <c r="B93" s="254" t="s">
        <v>83</v>
      </c>
      <c r="C93" s="254"/>
      <c r="D93" s="254"/>
      <c r="E93" s="254"/>
      <c r="F93" s="254"/>
      <c r="G93" s="254"/>
    </row>
    <row r="94" spans="1:7" x14ac:dyDescent="0.25">
      <c r="A94" s="253" t="s">
        <v>22</v>
      </c>
      <c r="B94" s="253"/>
      <c r="C94" s="253"/>
      <c r="D94" s="253"/>
      <c r="E94" s="253"/>
      <c r="F94" s="253"/>
      <c r="G94" s="18">
        <v>0</v>
      </c>
    </row>
    <row r="95" spans="1:7" x14ac:dyDescent="0.25">
      <c r="A95" s="15">
        <v>5</v>
      </c>
      <c r="B95" s="35" t="s">
        <v>84</v>
      </c>
      <c r="C95" s="35"/>
      <c r="D95" s="15" t="s">
        <v>26</v>
      </c>
      <c r="E95" s="36"/>
      <c r="F95" s="37"/>
      <c r="G95" s="38">
        <f>SUM(E95:F95)</f>
        <v>0</v>
      </c>
    </row>
    <row r="96" spans="1:7" x14ac:dyDescent="0.25">
      <c r="A96" s="31" t="s">
        <v>32</v>
      </c>
      <c r="B96" s="34" t="s">
        <v>3</v>
      </c>
      <c r="C96" s="32" t="s">
        <v>19</v>
      </c>
      <c r="D96" s="31"/>
      <c r="E96" s="23">
        <v>0</v>
      </c>
      <c r="F96" s="24">
        <v>24629.74</v>
      </c>
      <c r="G96" s="25">
        <f>SUM(E96:F96)</f>
        <v>24629.74</v>
      </c>
    </row>
    <row r="97" spans="1:7" x14ac:dyDescent="0.25">
      <c r="A97" s="253" t="s">
        <v>22</v>
      </c>
      <c r="B97" s="253"/>
      <c r="C97" s="253"/>
      <c r="D97" s="16"/>
      <c r="E97" s="17">
        <f>E96</f>
        <v>0</v>
      </c>
      <c r="F97" s="17">
        <f>F96</f>
        <v>24629.74</v>
      </c>
      <c r="G97" s="18">
        <f>E97+F97</f>
        <v>24629.74</v>
      </c>
    </row>
    <row r="98" spans="1:7" x14ac:dyDescent="0.25">
      <c r="A98" s="255" t="s">
        <v>1</v>
      </c>
      <c r="B98" s="255"/>
      <c r="C98" s="255"/>
      <c r="D98" s="255"/>
      <c r="E98" s="39">
        <f>E81+E83+E92+E97</f>
        <v>0</v>
      </c>
      <c r="F98" s="40">
        <f>F92+F97+F83+F81</f>
        <v>470677.80000000005</v>
      </c>
      <c r="G98" s="39">
        <f>E98+F98</f>
        <v>470677.80000000005</v>
      </c>
    </row>
    <row r="99" spans="1:7" x14ac:dyDescent="0.25">
      <c r="A99" s="266" t="s">
        <v>33</v>
      </c>
      <c r="B99" s="266"/>
      <c r="C99" s="266"/>
      <c r="D99" s="266"/>
      <c r="E99" s="266"/>
      <c r="F99" s="266"/>
      <c r="G99" s="266"/>
    </row>
    <row r="100" spans="1:7" x14ac:dyDescent="0.25">
      <c r="A100" s="12"/>
      <c r="B100" s="12"/>
      <c r="C100" s="11"/>
      <c r="D100" s="12"/>
      <c r="E100" s="12"/>
      <c r="F100" s="12"/>
      <c r="G100" s="12"/>
    </row>
    <row r="101" spans="1:7" x14ac:dyDescent="0.25">
      <c r="A101" s="258" t="s">
        <v>96</v>
      </c>
      <c r="B101" s="258"/>
      <c r="C101" s="258"/>
      <c r="D101" s="258"/>
      <c r="E101" s="258"/>
      <c r="F101" s="258"/>
      <c r="G101" s="258"/>
    </row>
    <row r="102" spans="1:7" ht="38.25" x14ac:dyDescent="0.25">
      <c r="A102" s="13" t="s">
        <v>27</v>
      </c>
      <c r="B102" s="13" t="s">
        <v>28</v>
      </c>
      <c r="C102" s="13" t="s">
        <v>29</v>
      </c>
      <c r="D102" s="13" t="s">
        <v>2</v>
      </c>
      <c r="E102" s="14" t="s">
        <v>89</v>
      </c>
      <c r="F102" s="14" t="s">
        <v>90</v>
      </c>
      <c r="G102" s="14" t="s">
        <v>91</v>
      </c>
    </row>
    <row r="103" spans="1:7" x14ac:dyDescent="0.25">
      <c r="A103" s="15">
        <v>1</v>
      </c>
      <c r="B103" s="254" t="s">
        <v>80</v>
      </c>
      <c r="C103" s="254"/>
      <c r="D103" s="254"/>
      <c r="E103" s="254"/>
      <c r="F103" s="254"/>
      <c r="G103" s="254"/>
    </row>
    <row r="104" spans="1:7" x14ac:dyDescent="0.25">
      <c r="A104" s="31" t="s">
        <v>48</v>
      </c>
      <c r="B104" s="32" t="s">
        <v>85</v>
      </c>
      <c r="C104" s="32" t="s">
        <v>62</v>
      </c>
      <c r="D104" s="41"/>
      <c r="E104" s="49">
        <v>0</v>
      </c>
      <c r="F104" s="42">
        <v>43028</v>
      </c>
      <c r="G104" s="43">
        <f>E104+F104</f>
        <v>43028</v>
      </c>
    </row>
    <row r="105" spans="1:7" s="1" customFormat="1" x14ac:dyDescent="0.25">
      <c r="A105" s="61" t="s">
        <v>70</v>
      </c>
      <c r="B105" s="62" t="s">
        <v>109</v>
      </c>
      <c r="C105" s="62" t="s">
        <v>110</v>
      </c>
      <c r="D105" s="41"/>
      <c r="E105" s="49">
        <v>0</v>
      </c>
      <c r="F105" s="42">
        <v>18406</v>
      </c>
      <c r="G105" s="43">
        <f>E105+F105</f>
        <v>18406</v>
      </c>
    </row>
    <row r="106" spans="1:7" x14ac:dyDescent="0.25">
      <c r="A106" s="253" t="s">
        <v>22</v>
      </c>
      <c r="B106" s="253"/>
      <c r="C106" s="253"/>
      <c r="D106" s="16"/>
      <c r="E106" s="17">
        <f>0</f>
        <v>0</v>
      </c>
      <c r="F106" s="17">
        <f>F104+F105</f>
        <v>61434</v>
      </c>
      <c r="G106" s="18">
        <f>G104+G105</f>
        <v>61434</v>
      </c>
    </row>
    <row r="107" spans="1:7" x14ac:dyDescent="0.25">
      <c r="A107" s="15">
        <v>2</v>
      </c>
      <c r="B107" s="254" t="s">
        <v>81</v>
      </c>
      <c r="C107" s="254"/>
      <c r="D107" s="254"/>
      <c r="E107" s="254"/>
      <c r="F107" s="254"/>
      <c r="G107" s="254"/>
    </row>
    <row r="108" spans="1:7" x14ac:dyDescent="0.25">
      <c r="A108" s="253" t="s">
        <v>22</v>
      </c>
      <c r="B108" s="253"/>
      <c r="C108" s="253"/>
      <c r="D108" s="16"/>
      <c r="E108" s="19">
        <f>0</f>
        <v>0</v>
      </c>
      <c r="F108" s="19">
        <f>0</f>
        <v>0</v>
      </c>
      <c r="G108" s="20">
        <f>G107</f>
        <v>0</v>
      </c>
    </row>
    <row r="109" spans="1:7" x14ac:dyDescent="0.25">
      <c r="A109" s="15">
        <v>3</v>
      </c>
      <c r="B109" s="254" t="s">
        <v>82</v>
      </c>
      <c r="C109" s="254"/>
      <c r="D109" s="254"/>
      <c r="E109" s="254"/>
      <c r="F109" s="254"/>
      <c r="G109" s="254"/>
    </row>
    <row r="110" spans="1:7" x14ac:dyDescent="0.25">
      <c r="A110" s="27" t="s">
        <v>4</v>
      </c>
      <c r="B110" s="60" t="s">
        <v>104</v>
      </c>
      <c r="C110" s="60" t="s">
        <v>104</v>
      </c>
      <c r="D110" s="27" t="s">
        <v>17</v>
      </c>
      <c r="E110" s="28">
        <v>0</v>
      </c>
      <c r="F110" s="29">
        <v>2700</v>
      </c>
      <c r="G110" s="30">
        <f t="shared" ref="G110:G116" si="4">SUM(E110:F110)</f>
        <v>2700</v>
      </c>
    </row>
    <row r="111" spans="1:7" x14ac:dyDescent="0.25">
      <c r="A111" s="31" t="s">
        <v>5</v>
      </c>
      <c r="B111" s="34" t="s">
        <v>51</v>
      </c>
      <c r="C111" s="32" t="s">
        <v>86</v>
      </c>
      <c r="D111" s="31" t="s">
        <v>12</v>
      </c>
      <c r="E111" s="23">
        <v>0</v>
      </c>
      <c r="F111" s="24">
        <v>76263.570000000007</v>
      </c>
      <c r="G111" s="25">
        <f t="shared" si="4"/>
        <v>76263.570000000007</v>
      </c>
    </row>
    <row r="112" spans="1:7" x14ac:dyDescent="0.25">
      <c r="A112" s="256" t="s">
        <v>6</v>
      </c>
      <c r="B112" s="257" t="s">
        <v>10</v>
      </c>
      <c r="C112" s="26" t="s">
        <v>11</v>
      </c>
      <c r="D112" s="27" t="s">
        <v>20</v>
      </c>
      <c r="E112" s="28">
        <v>0</v>
      </c>
      <c r="F112" s="29">
        <v>0</v>
      </c>
      <c r="G112" s="30">
        <f t="shared" si="4"/>
        <v>0</v>
      </c>
    </row>
    <row r="113" spans="1:7" x14ac:dyDescent="0.25">
      <c r="A113" s="256"/>
      <c r="B113" s="257"/>
      <c r="C113" s="26" t="s">
        <v>86</v>
      </c>
      <c r="D113" s="27"/>
      <c r="E113" s="28">
        <v>0</v>
      </c>
      <c r="F113" s="29">
        <v>20544.47</v>
      </c>
      <c r="G113" s="30">
        <f t="shared" si="4"/>
        <v>20544.47</v>
      </c>
    </row>
    <row r="114" spans="1:7" x14ac:dyDescent="0.25">
      <c r="A114" s="31" t="s">
        <v>18</v>
      </c>
      <c r="B114" s="34" t="s">
        <v>13</v>
      </c>
      <c r="C114" s="32" t="s">
        <v>14</v>
      </c>
      <c r="D114" s="31" t="s">
        <v>21</v>
      </c>
      <c r="E114" s="23">
        <v>0</v>
      </c>
      <c r="F114" s="24">
        <v>9233.7000000000007</v>
      </c>
      <c r="G114" s="25">
        <f t="shared" si="4"/>
        <v>9233.7000000000007</v>
      </c>
    </row>
    <row r="115" spans="1:7" x14ac:dyDescent="0.25">
      <c r="A115" s="27" t="s">
        <v>23</v>
      </c>
      <c r="B115" s="33" t="s">
        <v>0</v>
      </c>
      <c r="C115" s="26" t="s">
        <v>31</v>
      </c>
      <c r="D115" s="27"/>
      <c r="E115" s="28">
        <v>0</v>
      </c>
      <c r="F115" s="29">
        <v>184060.23</v>
      </c>
      <c r="G115" s="30">
        <f t="shared" si="4"/>
        <v>184060.23</v>
      </c>
    </row>
    <row r="116" spans="1:7" x14ac:dyDescent="0.25">
      <c r="A116" s="31" t="s">
        <v>24</v>
      </c>
      <c r="B116" s="34" t="s">
        <v>105</v>
      </c>
      <c r="C116" s="60" t="s">
        <v>108</v>
      </c>
      <c r="D116" s="31"/>
      <c r="E116" s="23">
        <v>0</v>
      </c>
      <c r="F116" s="24">
        <v>1035.25</v>
      </c>
      <c r="G116" s="25">
        <f t="shared" si="4"/>
        <v>1035.25</v>
      </c>
    </row>
    <row r="117" spans="1:7" x14ac:dyDescent="0.25">
      <c r="A117" s="253" t="s">
        <v>22</v>
      </c>
      <c r="B117" s="253"/>
      <c r="C117" s="253"/>
      <c r="D117" s="16"/>
      <c r="E117" s="17">
        <f>SUM(E110:E116)</f>
        <v>0</v>
      </c>
      <c r="F117" s="17">
        <f>SUM(F110:F116)</f>
        <v>293837.22000000003</v>
      </c>
      <c r="G117" s="18">
        <f>SUM(G109:G116)</f>
        <v>293837.22000000003</v>
      </c>
    </row>
    <row r="118" spans="1:7" x14ac:dyDescent="0.25">
      <c r="A118" s="15">
        <v>4</v>
      </c>
      <c r="B118" s="254" t="s">
        <v>83</v>
      </c>
      <c r="C118" s="254"/>
      <c r="D118" s="254"/>
      <c r="E118" s="254"/>
      <c r="F118" s="254"/>
      <c r="G118" s="254"/>
    </row>
    <row r="119" spans="1:7" x14ac:dyDescent="0.25">
      <c r="A119" s="253" t="s">
        <v>22</v>
      </c>
      <c r="B119" s="253"/>
      <c r="C119" s="253"/>
      <c r="D119" s="253"/>
      <c r="E119" s="253"/>
      <c r="F119" s="253"/>
      <c r="G119" s="18">
        <v>0</v>
      </c>
    </row>
    <row r="120" spans="1:7" x14ac:dyDescent="0.25">
      <c r="A120" s="15">
        <v>5</v>
      </c>
      <c r="B120" s="35" t="s">
        <v>84</v>
      </c>
      <c r="C120" s="35"/>
      <c r="D120" s="15" t="s">
        <v>26</v>
      </c>
      <c r="E120" s="36"/>
      <c r="F120" s="37"/>
      <c r="G120" s="38">
        <f>SUM(E120:F120)</f>
        <v>0</v>
      </c>
    </row>
    <row r="121" spans="1:7" x14ac:dyDescent="0.25">
      <c r="A121" s="31" t="s">
        <v>32</v>
      </c>
      <c r="B121" s="34" t="s">
        <v>3</v>
      </c>
      <c r="C121" s="32" t="s">
        <v>19</v>
      </c>
      <c r="D121" s="31"/>
      <c r="E121" s="23">
        <v>0</v>
      </c>
      <c r="F121" s="24">
        <v>17676.650000000001</v>
      </c>
      <c r="G121" s="25">
        <f>SUM(E121:F121)</f>
        <v>17676.650000000001</v>
      </c>
    </row>
    <row r="122" spans="1:7" x14ac:dyDescent="0.25">
      <c r="A122" s="253" t="s">
        <v>22</v>
      </c>
      <c r="B122" s="253"/>
      <c r="C122" s="253"/>
      <c r="D122" s="16"/>
      <c r="E122" s="17">
        <f>E121</f>
        <v>0</v>
      </c>
      <c r="F122" s="17">
        <f>F121</f>
        <v>17676.650000000001</v>
      </c>
      <c r="G122" s="18">
        <f>E122+F122</f>
        <v>17676.650000000001</v>
      </c>
    </row>
    <row r="123" spans="1:7" x14ac:dyDescent="0.25">
      <c r="A123" s="255" t="s">
        <v>1</v>
      </c>
      <c r="B123" s="255"/>
      <c r="C123" s="255"/>
      <c r="D123" s="255"/>
      <c r="E123" s="39">
        <f>E106+E108+E117+E122</f>
        <v>0</v>
      </c>
      <c r="F123" s="40">
        <f>F117+F122+F108+F106</f>
        <v>372947.87000000005</v>
      </c>
      <c r="G123" s="39">
        <f>E123+F123</f>
        <v>372947.87000000005</v>
      </c>
    </row>
    <row r="124" spans="1:7" x14ac:dyDescent="0.25">
      <c r="A124" s="266" t="s">
        <v>33</v>
      </c>
      <c r="B124" s="266"/>
      <c r="C124" s="266"/>
      <c r="D124" s="266"/>
      <c r="E124" s="266"/>
      <c r="F124" s="266"/>
      <c r="G124" s="266"/>
    </row>
    <row r="125" spans="1:7" x14ac:dyDescent="0.25">
      <c r="A125" s="12"/>
      <c r="B125" s="12"/>
      <c r="C125" s="11"/>
      <c r="D125" s="12"/>
      <c r="E125" s="12"/>
      <c r="F125" s="12"/>
      <c r="G125" s="12"/>
    </row>
    <row r="126" spans="1:7" x14ac:dyDescent="0.25">
      <c r="A126" s="258" t="s">
        <v>97</v>
      </c>
      <c r="B126" s="258"/>
      <c r="C126" s="258"/>
      <c r="D126" s="258"/>
      <c r="E126" s="258"/>
      <c r="F126" s="258"/>
      <c r="G126" s="258"/>
    </row>
    <row r="127" spans="1:7" ht="38.25" x14ac:dyDescent="0.25">
      <c r="A127" s="13" t="s">
        <v>27</v>
      </c>
      <c r="B127" s="13" t="s">
        <v>28</v>
      </c>
      <c r="C127" s="13" t="s">
        <v>29</v>
      </c>
      <c r="D127" s="13" t="s">
        <v>2</v>
      </c>
      <c r="E127" s="14" t="s">
        <v>89</v>
      </c>
      <c r="F127" s="14" t="s">
        <v>90</v>
      </c>
      <c r="G127" s="14" t="s">
        <v>91</v>
      </c>
    </row>
    <row r="128" spans="1:7" x14ac:dyDescent="0.25">
      <c r="A128" s="15">
        <v>1</v>
      </c>
      <c r="B128" s="254" t="s">
        <v>80</v>
      </c>
      <c r="C128" s="254"/>
      <c r="D128" s="254"/>
      <c r="E128" s="254"/>
      <c r="F128" s="254"/>
      <c r="G128" s="254"/>
    </row>
    <row r="129" spans="1:7" x14ac:dyDescent="0.25">
      <c r="A129" s="253" t="s">
        <v>22</v>
      </c>
      <c r="B129" s="253"/>
      <c r="C129" s="253"/>
      <c r="D129" s="16"/>
      <c r="E129" s="17">
        <v>0</v>
      </c>
      <c r="F129" s="17">
        <v>0</v>
      </c>
      <c r="G129" s="18">
        <v>0</v>
      </c>
    </row>
    <row r="130" spans="1:7" x14ac:dyDescent="0.25">
      <c r="A130" s="15">
        <v>2</v>
      </c>
      <c r="B130" s="254" t="s">
        <v>81</v>
      </c>
      <c r="C130" s="254"/>
      <c r="D130" s="254"/>
      <c r="E130" s="254"/>
      <c r="F130" s="254"/>
      <c r="G130" s="254"/>
    </row>
    <row r="131" spans="1:7" x14ac:dyDescent="0.25">
      <c r="A131" s="253" t="s">
        <v>22</v>
      </c>
      <c r="B131" s="253"/>
      <c r="C131" s="253"/>
      <c r="D131" s="16"/>
      <c r="E131" s="19">
        <f>0</f>
        <v>0</v>
      </c>
      <c r="F131" s="19">
        <f>0</f>
        <v>0</v>
      </c>
      <c r="G131" s="20">
        <f>G130</f>
        <v>0</v>
      </c>
    </row>
    <row r="132" spans="1:7" x14ac:dyDescent="0.25">
      <c r="A132" s="15">
        <v>3</v>
      </c>
      <c r="B132" s="254" t="s">
        <v>82</v>
      </c>
      <c r="C132" s="254"/>
      <c r="D132" s="254"/>
      <c r="E132" s="254"/>
      <c r="F132" s="254"/>
      <c r="G132" s="254"/>
    </row>
    <row r="133" spans="1:7" x14ac:dyDescent="0.25">
      <c r="A133" s="27" t="s">
        <v>4</v>
      </c>
      <c r="B133" s="26" t="s">
        <v>15</v>
      </c>
      <c r="C133" s="26" t="s">
        <v>16</v>
      </c>
      <c r="D133" s="27" t="s">
        <v>17</v>
      </c>
      <c r="E133" s="28">
        <v>0</v>
      </c>
      <c r="F133" s="29">
        <v>97632</v>
      </c>
      <c r="G133" s="30">
        <f t="shared" ref="G133:G139" si="5">SUM(E133:F133)</f>
        <v>97632</v>
      </c>
    </row>
    <row r="134" spans="1:7" x14ac:dyDescent="0.25">
      <c r="A134" s="31" t="s">
        <v>5</v>
      </c>
      <c r="B134" s="34" t="s">
        <v>51</v>
      </c>
      <c r="C134" s="32" t="s">
        <v>86</v>
      </c>
      <c r="D134" s="31" t="s">
        <v>12</v>
      </c>
      <c r="E134" s="23">
        <v>0</v>
      </c>
      <c r="F134" s="24">
        <v>76263.570000000007</v>
      </c>
      <c r="G134" s="25">
        <f t="shared" si="5"/>
        <v>76263.570000000007</v>
      </c>
    </row>
    <row r="135" spans="1:7" x14ac:dyDescent="0.25">
      <c r="A135" s="256" t="s">
        <v>6</v>
      </c>
      <c r="B135" s="257" t="s">
        <v>10</v>
      </c>
      <c r="C135" s="26" t="s">
        <v>11</v>
      </c>
      <c r="D135" s="27" t="s">
        <v>20</v>
      </c>
      <c r="E135" s="28">
        <v>0</v>
      </c>
      <c r="F135" s="29">
        <v>223864.14</v>
      </c>
      <c r="G135" s="30">
        <f t="shared" si="5"/>
        <v>223864.14</v>
      </c>
    </row>
    <row r="136" spans="1:7" x14ac:dyDescent="0.25">
      <c r="A136" s="256"/>
      <c r="B136" s="257"/>
      <c r="C136" s="26" t="s">
        <v>86</v>
      </c>
      <c r="D136" s="27"/>
      <c r="E136" s="28">
        <v>0</v>
      </c>
      <c r="F136" s="29">
        <v>20544.47</v>
      </c>
      <c r="G136" s="30">
        <f t="shared" si="5"/>
        <v>20544.47</v>
      </c>
    </row>
    <row r="137" spans="1:7" x14ac:dyDescent="0.25">
      <c r="A137" s="31" t="s">
        <v>18</v>
      </c>
      <c r="B137" s="34" t="s">
        <v>13</v>
      </c>
      <c r="C137" s="32" t="s">
        <v>14</v>
      </c>
      <c r="D137" s="31" t="s">
        <v>21</v>
      </c>
      <c r="E137" s="23">
        <v>0</v>
      </c>
      <c r="F137" s="24">
        <v>9164.5</v>
      </c>
      <c r="G137" s="25">
        <f t="shared" si="5"/>
        <v>9164.5</v>
      </c>
    </row>
    <row r="138" spans="1:7" x14ac:dyDescent="0.25">
      <c r="A138" s="27" t="s">
        <v>23</v>
      </c>
      <c r="B138" s="33" t="s">
        <v>0</v>
      </c>
      <c r="C138" s="26" t="s">
        <v>31</v>
      </c>
      <c r="D138" s="27"/>
      <c r="E138" s="28">
        <v>0</v>
      </c>
      <c r="F138" s="29">
        <v>280119.55</v>
      </c>
      <c r="G138" s="30">
        <f t="shared" si="5"/>
        <v>280119.55</v>
      </c>
    </row>
    <row r="139" spans="1:7" x14ac:dyDescent="0.25">
      <c r="A139" s="31" t="s">
        <v>24</v>
      </c>
      <c r="B139" s="34" t="s">
        <v>104</v>
      </c>
      <c r="C139" s="62" t="s">
        <v>104</v>
      </c>
      <c r="D139" s="31"/>
      <c r="E139" s="23">
        <v>0</v>
      </c>
      <c r="F139" s="24">
        <v>2700</v>
      </c>
      <c r="G139" s="25">
        <f t="shared" si="5"/>
        <v>2700</v>
      </c>
    </row>
    <row r="140" spans="1:7" x14ac:dyDescent="0.25">
      <c r="A140" s="253" t="s">
        <v>22</v>
      </c>
      <c r="B140" s="253"/>
      <c r="C140" s="253"/>
      <c r="D140" s="16"/>
      <c r="E140" s="17">
        <f>SUM(E133:E139)</f>
        <v>0</v>
      </c>
      <c r="F140" s="17">
        <f>SUM(F133:F139)</f>
        <v>710288.23</v>
      </c>
      <c r="G140" s="18">
        <f>SUM(G132:G139)</f>
        <v>710288.23</v>
      </c>
    </row>
    <row r="141" spans="1:7" x14ac:dyDescent="0.25">
      <c r="A141" s="15">
        <v>4</v>
      </c>
      <c r="B141" s="254" t="s">
        <v>83</v>
      </c>
      <c r="C141" s="254"/>
      <c r="D141" s="254"/>
      <c r="E141" s="254"/>
      <c r="F141" s="254"/>
      <c r="G141" s="254"/>
    </row>
    <row r="142" spans="1:7" x14ac:dyDescent="0.25">
      <c r="A142" s="253" t="s">
        <v>22</v>
      </c>
      <c r="B142" s="253"/>
      <c r="C142" s="253"/>
      <c r="D142" s="253"/>
      <c r="E142" s="253"/>
      <c r="F142" s="253"/>
      <c r="G142" s="18">
        <v>0</v>
      </c>
    </row>
    <row r="143" spans="1:7" x14ac:dyDescent="0.25">
      <c r="A143" s="15">
        <v>5</v>
      </c>
      <c r="B143" s="35" t="s">
        <v>84</v>
      </c>
      <c r="C143" s="35"/>
      <c r="D143" s="15" t="s">
        <v>26</v>
      </c>
      <c r="E143" s="36"/>
      <c r="F143" s="37"/>
      <c r="G143" s="38">
        <f>SUM(E143:F143)</f>
        <v>0</v>
      </c>
    </row>
    <row r="144" spans="1:7" x14ac:dyDescent="0.25">
      <c r="A144" s="31" t="s">
        <v>32</v>
      </c>
      <c r="B144" s="34" t="s">
        <v>3</v>
      </c>
      <c r="C144" s="32" t="s">
        <v>19</v>
      </c>
      <c r="D144" s="31"/>
      <c r="E144" s="23">
        <v>0</v>
      </c>
      <c r="F144" s="24">
        <v>23734.07</v>
      </c>
      <c r="G144" s="25">
        <f>SUM(E144:F144)</f>
        <v>23734.07</v>
      </c>
    </row>
    <row r="145" spans="1:7" x14ac:dyDescent="0.25">
      <c r="A145" s="253" t="s">
        <v>22</v>
      </c>
      <c r="B145" s="253"/>
      <c r="C145" s="253"/>
      <c r="D145" s="16"/>
      <c r="E145" s="17">
        <f>E144</f>
        <v>0</v>
      </c>
      <c r="F145" s="17">
        <f>F144</f>
        <v>23734.07</v>
      </c>
      <c r="G145" s="18">
        <f>E145+F145</f>
        <v>23734.07</v>
      </c>
    </row>
    <row r="146" spans="1:7" x14ac:dyDescent="0.25">
      <c r="A146" s="259" t="s">
        <v>1</v>
      </c>
      <c r="B146" s="259"/>
      <c r="C146" s="259"/>
      <c r="D146" s="259"/>
      <c r="E146" s="8">
        <f>E129+E131+E140+E145</f>
        <v>0</v>
      </c>
      <c r="F146" s="9">
        <f>F140+F145+F131+F129</f>
        <v>734022.29999999993</v>
      </c>
      <c r="G146" s="8">
        <f>E146+F146</f>
        <v>734022.29999999993</v>
      </c>
    </row>
    <row r="147" spans="1:7" x14ac:dyDescent="0.25">
      <c r="A147" s="266" t="s">
        <v>33</v>
      </c>
      <c r="B147" s="266"/>
      <c r="C147" s="266"/>
      <c r="D147" s="266"/>
      <c r="E147" s="266"/>
      <c r="F147" s="266"/>
      <c r="G147" s="266"/>
    </row>
    <row r="148" spans="1:7" x14ac:dyDescent="0.25">
      <c r="A148" s="12"/>
      <c r="B148" s="12"/>
      <c r="C148" s="11"/>
      <c r="D148" s="12"/>
      <c r="E148" s="12"/>
      <c r="F148" s="12"/>
      <c r="G148" s="12"/>
    </row>
    <row r="149" spans="1:7" x14ac:dyDescent="0.25">
      <c r="A149" s="258" t="s">
        <v>98</v>
      </c>
      <c r="B149" s="258"/>
      <c r="C149" s="258"/>
      <c r="D149" s="258"/>
      <c r="E149" s="258"/>
      <c r="F149" s="258"/>
      <c r="G149" s="258"/>
    </row>
    <row r="150" spans="1:7" ht="38.25" x14ac:dyDescent="0.25">
      <c r="A150" s="13" t="s">
        <v>27</v>
      </c>
      <c r="B150" s="13" t="s">
        <v>28</v>
      </c>
      <c r="C150" s="13" t="s">
        <v>29</v>
      </c>
      <c r="D150" s="13" t="s">
        <v>2</v>
      </c>
      <c r="E150" s="14" t="s">
        <v>89</v>
      </c>
      <c r="F150" s="14" t="s">
        <v>90</v>
      </c>
      <c r="G150" s="14" t="s">
        <v>91</v>
      </c>
    </row>
    <row r="151" spans="1:7" x14ac:dyDescent="0.25">
      <c r="A151" s="15">
        <v>1</v>
      </c>
      <c r="B151" s="254" t="s">
        <v>80</v>
      </c>
      <c r="C151" s="254"/>
      <c r="D151" s="254"/>
      <c r="E151" s="254"/>
      <c r="F151" s="254"/>
      <c r="G151" s="254"/>
    </row>
    <row r="152" spans="1:7" x14ac:dyDescent="0.25">
      <c r="A152" s="253" t="s">
        <v>22</v>
      </c>
      <c r="B152" s="253"/>
      <c r="C152" s="253"/>
      <c r="D152" s="16"/>
      <c r="E152" s="17">
        <v>0</v>
      </c>
      <c r="F152" s="17">
        <v>0</v>
      </c>
      <c r="G152" s="18">
        <v>0</v>
      </c>
    </row>
    <row r="153" spans="1:7" x14ac:dyDescent="0.25">
      <c r="A153" s="15">
        <v>2</v>
      </c>
      <c r="B153" s="254" t="s">
        <v>81</v>
      </c>
      <c r="C153" s="254"/>
      <c r="D153" s="254"/>
      <c r="E153" s="254"/>
      <c r="F153" s="254"/>
      <c r="G153" s="254"/>
    </row>
    <row r="154" spans="1:7" x14ac:dyDescent="0.25">
      <c r="A154" s="253" t="s">
        <v>22</v>
      </c>
      <c r="B154" s="253"/>
      <c r="C154" s="253"/>
      <c r="D154" s="16"/>
      <c r="E154" s="19">
        <f>0</f>
        <v>0</v>
      </c>
      <c r="F154" s="19">
        <f>0</f>
        <v>0</v>
      </c>
      <c r="G154" s="20">
        <f>G153</f>
        <v>0</v>
      </c>
    </row>
    <row r="155" spans="1:7" x14ac:dyDescent="0.25">
      <c r="A155" s="15">
        <v>3</v>
      </c>
      <c r="B155" s="254" t="s">
        <v>82</v>
      </c>
      <c r="C155" s="254"/>
      <c r="D155" s="254"/>
      <c r="E155" s="254"/>
      <c r="F155" s="254"/>
      <c r="G155" s="254"/>
    </row>
    <row r="156" spans="1:7" x14ac:dyDescent="0.25">
      <c r="A156" s="61" t="s">
        <v>4</v>
      </c>
      <c r="B156" s="34" t="s">
        <v>51</v>
      </c>
      <c r="C156" s="32" t="s">
        <v>86</v>
      </c>
      <c r="D156" s="31" t="s">
        <v>12</v>
      </c>
      <c r="E156" s="23">
        <v>0</v>
      </c>
      <c r="F156" s="24">
        <v>76263.570000000007</v>
      </c>
      <c r="G156" s="25">
        <f t="shared" ref="G156:G161" si="6">SUM(E156:F156)</f>
        <v>76263.570000000007</v>
      </c>
    </row>
    <row r="157" spans="1:7" x14ac:dyDescent="0.25">
      <c r="A157" s="256" t="s">
        <v>5</v>
      </c>
      <c r="B157" s="257" t="s">
        <v>10</v>
      </c>
      <c r="C157" s="26" t="s">
        <v>11</v>
      </c>
      <c r="D157" s="27" t="s">
        <v>20</v>
      </c>
      <c r="E157" s="28">
        <v>0</v>
      </c>
      <c r="F157" s="29">
        <v>238925.91</v>
      </c>
      <c r="G157" s="30">
        <f t="shared" si="6"/>
        <v>238925.91</v>
      </c>
    </row>
    <row r="158" spans="1:7" x14ac:dyDescent="0.25">
      <c r="A158" s="256"/>
      <c r="B158" s="257"/>
      <c r="C158" s="26" t="s">
        <v>86</v>
      </c>
      <c r="D158" s="27"/>
      <c r="E158" s="28">
        <v>0</v>
      </c>
      <c r="F158" s="29">
        <v>20544.47</v>
      </c>
      <c r="G158" s="30">
        <f t="shared" si="6"/>
        <v>20544.47</v>
      </c>
    </row>
    <row r="159" spans="1:7" x14ac:dyDescent="0.25">
      <c r="A159" s="61" t="s">
        <v>6</v>
      </c>
      <c r="B159" s="34" t="s">
        <v>13</v>
      </c>
      <c r="C159" s="32" t="s">
        <v>14</v>
      </c>
      <c r="D159" s="31" t="s">
        <v>21</v>
      </c>
      <c r="E159" s="23">
        <v>0</v>
      </c>
      <c r="F159" s="24">
        <v>10861.8</v>
      </c>
      <c r="G159" s="25">
        <f t="shared" si="6"/>
        <v>10861.8</v>
      </c>
    </row>
    <row r="160" spans="1:7" x14ac:dyDescent="0.25">
      <c r="A160" s="59" t="s">
        <v>18</v>
      </c>
      <c r="B160" s="33" t="s">
        <v>0</v>
      </c>
      <c r="C160" s="26" t="s">
        <v>31</v>
      </c>
      <c r="D160" s="27"/>
      <c r="E160" s="28">
        <v>0</v>
      </c>
      <c r="F160" s="29">
        <v>280558.15000000002</v>
      </c>
      <c r="G160" s="30">
        <f t="shared" si="6"/>
        <v>280558.15000000002</v>
      </c>
    </row>
    <row r="161" spans="1:7" x14ac:dyDescent="0.25">
      <c r="A161" s="61" t="s">
        <v>23</v>
      </c>
      <c r="B161" s="34" t="s">
        <v>104</v>
      </c>
      <c r="C161" s="62" t="s">
        <v>104</v>
      </c>
      <c r="D161" s="31"/>
      <c r="E161" s="23">
        <v>0</v>
      </c>
      <c r="F161" s="24">
        <v>2700</v>
      </c>
      <c r="G161" s="25">
        <f t="shared" si="6"/>
        <v>2700</v>
      </c>
    </row>
    <row r="162" spans="1:7" x14ac:dyDescent="0.25">
      <c r="A162" s="253" t="s">
        <v>22</v>
      </c>
      <c r="B162" s="253"/>
      <c r="C162" s="253"/>
      <c r="D162" s="16"/>
      <c r="E162" s="17">
        <f>SUM(E156:E161)</f>
        <v>0</v>
      </c>
      <c r="F162" s="17">
        <f>SUM(F156:F161)</f>
        <v>629853.89999999991</v>
      </c>
      <c r="G162" s="18">
        <f>SUM(G155:G161)</f>
        <v>629853.89999999991</v>
      </c>
    </row>
    <row r="163" spans="1:7" x14ac:dyDescent="0.25">
      <c r="A163" s="15">
        <v>4</v>
      </c>
      <c r="B163" s="254" t="s">
        <v>83</v>
      </c>
      <c r="C163" s="254"/>
      <c r="D163" s="254"/>
      <c r="E163" s="254"/>
      <c r="F163" s="254"/>
      <c r="G163" s="254"/>
    </row>
    <row r="164" spans="1:7" x14ac:dyDescent="0.25">
      <c r="A164" s="253" t="s">
        <v>22</v>
      </c>
      <c r="B164" s="253"/>
      <c r="C164" s="253"/>
      <c r="D164" s="253"/>
      <c r="E164" s="253"/>
      <c r="F164" s="253"/>
      <c r="G164" s="18">
        <v>0</v>
      </c>
    </row>
    <row r="165" spans="1:7" x14ac:dyDescent="0.25">
      <c r="A165" s="15">
        <v>5</v>
      </c>
      <c r="B165" s="35" t="s">
        <v>84</v>
      </c>
      <c r="C165" s="35"/>
      <c r="D165" s="15" t="s">
        <v>26</v>
      </c>
      <c r="E165" s="36"/>
      <c r="F165" s="37"/>
      <c r="G165" s="38">
        <f>SUM(E165:F165)</f>
        <v>0</v>
      </c>
    </row>
    <row r="166" spans="1:7" x14ac:dyDescent="0.25">
      <c r="A166" s="31" t="s">
        <v>32</v>
      </c>
      <c r="B166" s="34" t="s">
        <v>3</v>
      </c>
      <c r="C166" s="32" t="s">
        <v>19</v>
      </c>
      <c r="D166" s="31"/>
      <c r="E166" s="23">
        <v>0</v>
      </c>
      <c r="F166" s="24">
        <v>20164.95</v>
      </c>
      <c r="G166" s="25">
        <f>SUM(E166:F166)</f>
        <v>20164.95</v>
      </c>
    </row>
    <row r="167" spans="1:7" x14ac:dyDescent="0.25">
      <c r="A167" s="253" t="s">
        <v>22</v>
      </c>
      <c r="B167" s="253"/>
      <c r="C167" s="253"/>
      <c r="D167" s="16"/>
      <c r="E167" s="17">
        <f>E166</f>
        <v>0</v>
      </c>
      <c r="F167" s="17">
        <f>F166</f>
        <v>20164.95</v>
      </c>
      <c r="G167" s="18">
        <f>E167+F167</f>
        <v>20164.95</v>
      </c>
    </row>
    <row r="168" spans="1:7" x14ac:dyDescent="0.25">
      <c r="A168" s="255" t="s">
        <v>1</v>
      </c>
      <c r="B168" s="255"/>
      <c r="C168" s="255"/>
      <c r="D168" s="255"/>
      <c r="E168" s="39">
        <f>E152+E154+E162+E167</f>
        <v>0</v>
      </c>
      <c r="F168" s="40">
        <f>F162+F167+F154+F152</f>
        <v>650018.84999999986</v>
      </c>
      <c r="G168" s="39">
        <f>E168+F168</f>
        <v>650018.84999999986</v>
      </c>
    </row>
    <row r="169" spans="1:7" x14ac:dyDescent="0.25">
      <c r="A169" s="266" t="s">
        <v>33</v>
      </c>
      <c r="B169" s="266"/>
      <c r="C169" s="266"/>
      <c r="D169" s="266"/>
      <c r="E169" s="266"/>
      <c r="F169" s="266"/>
      <c r="G169" s="266"/>
    </row>
    <row r="170" spans="1:7" x14ac:dyDescent="0.25">
      <c r="A170" s="12"/>
      <c r="B170" s="12"/>
      <c r="C170" s="11"/>
      <c r="D170" s="12"/>
      <c r="E170" s="12"/>
      <c r="F170" s="12"/>
      <c r="G170" s="12"/>
    </row>
    <row r="171" spans="1:7" x14ac:dyDescent="0.25">
      <c r="A171" s="258" t="s">
        <v>99</v>
      </c>
      <c r="B171" s="258"/>
      <c r="C171" s="258"/>
      <c r="D171" s="258"/>
      <c r="E171" s="258"/>
      <c r="F171" s="258"/>
      <c r="G171" s="258"/>
    </row>
    <row r="172" spans="1:7" ht="38.25" x14ac:dyDescent="0.25">
      <c r="A172" s="13" t="s">
        <v>27</v>
      </c>
      <c r="B172" s="13" t="s">
        <v>28</v>
      </c>
      <c r="C172" s="13" t="s">
        <v>29</v>
      </c>
      <c r="D172" s="13" t="s">
        <v>2</v>
      </c>
      <c r="E172" s="14" t="s">
        <v>89</v>
      </c>
      <c r="F172" s="14" t="s">
        <v>90</v>
      </c>
      <c r="G172" s="14" t="s">
        <v>91</v>
      </c>
    </row>
    <row r="173" spans="1:7" x14ac:dyDescent="0.25">
      <c r="A173" s="15">
        <v>1</v>
      </c>
      <c r="B173" s="254" t="s">
        <v>80</v>
      </c>
      <c r="C173" s="254"/>
      <c r="D173" s="254"/>
      <c r="E173" s="254"/>
      <c r="F173" s="254"/>
      <c r="G173" s="254"/>
    </row>
    <row r="174" spans="1:7" x14ac:dyDescent="0.25">
      <c r="A174" s="253" t="s">
        <v>22</v>
      </c>
      <c r="B174" s="253"/>
      <c r="C174" s="253"/>
      <c r="D174" s="16"/>
      <c r="E174" s="17">
        <v>0</v>
      </c>
      <c r="F174" s="17">
        <v>0</v>
      </c>
      <c r="G174" s="18">
        <v>0</v>
      </c>
    </row>
    <row r="175" spans="1:7" x14ac:dyDescent="0.25">
      <c r="A175" s="15">
        <v>2</v>
      </c>
      <c r="B175" s="254" t="s">
        <v>81</v>
      </c>
      <c r="C175" s="254"/>
      <c r="D175" s="254"/>
      <c r="E175" s="254"/>
      <c r="F175" s="254"/>
      <c r="G175" s="254"/>
    </row>
    <row r="176" spans="1:7" x14ac:dyDescent="0.25">
      <c r="A176" s="253" t="s">
        <v>22</v>
      </c>
      <c r="B176" s="253"/>
      <c r="C176" s="253"/>
      <c r="D176" s="16"/>
      <c r="E176" s="19">
        <f>0</f>
        <v>0</v>
      </c>
      <c r="F176" s="19">
        <f>0</f>
        <v>0</v>
      </c>
      <c r="G176" s="20">
        <f>G175</f>
        <v>0</v>
      </c>
    </row>
    <row r="177" spans="1:7" x14ac:dyDescent="0.25">
      <c r="A177" s="15">
        <v>3</v>
      </c>
      <c r="B177" s="254" t="s">
        <v>82</v>
      </c>
      <c r="C177" s="254"/>
      <c r="D177" s="254"/>
      <c r="E177" s="254"/>
      <c r="F177" s="254"/>
      <c r="G177" s="254"/>
    </row>
    <row r="178" spans="1:7" x14ac:dyDescent="0.25">
      <c r="A178" s="61" t="s">
        <v>4</v>
      </c>
      <c r="B178" s="34" t="s">
        <v>51</v>
      </c>
      <c r="C178" s="32" t="s">
        <v>86</v>
      </c>
      <c r="D178" s="31" t="s">
        <v>12</v>
      </c>
      <c r="E178" s="23">
        <v>0</v>
      </c>
      <c r="F178" s="24">
        <v>80899.48</v>
      </c>
      <c r="G178" s="25">
        <f t="shared" ref="G178:G181" si="7">SUM(E178:F178)</f>
        <v>80899.48</v>
      </c>
    </row>
    <row r="179" spans="1:7" x14ac:dyDescent="0.25">
      <c r="A179" s="61" t="s">
        <v>5</v>
      </c>
      <c r="B179" s="34" t="s">
        <v>13</v>
      </c>
      <c r="C179" s="32" t="s">
        <v>14</v>
      </c>
      <c r="D179" s="31" t="s">
        <v>21</v>
      </c>
      <c r="E179" s="23">
        <v>0</v>
      </c>
      <c r="F179" s="24">
        <v>9025.2999999999993</v>
      </c>
      <c r="G179" s="25">
        <f t="shared" si="7"/>
        <v>9025.2999999999993</v>
      </c>
    </row>
    <row r="180" spans="1:7" x14ac:dyDescent="0.25">
      <c r="A180" s="59" t="s">
        <v>6</v>
      </c>
      <c r="B180" s="33" t="s">
        <v>0</v>
      </c>
      <c r="C180" s="26" t="s">
        <v>31</v>
      </c>
      <c r="D180" s="27"/>
      <c r="E180" s="28">
        <v>0</v>
      </c>
      <c r="F180" s="29">
        <v>288572.32</v>
      </c>
      <c r="G180" s="30">
        <f t="shared" si="7"/>
        <v>288572.32</v>
      </c>
    </row>
    <row r="181" spans="1:7" x14ac:dyDescent="0.25">
      <c r="A181" s="61" t="s">
        <v>18</v>
      </c>
      <c r="B181" s="34" t="s">
        <v>104</v>
      </c>
      <c r="C181" s="62" t="s">
        <v>104</v>
      </c>
      <c r="D181" s="31"/>
      <c r="E181" s="23">
        <v>0</v>
      </c>
      <c r="F181" s="24">
        <v>2700</v>
      </c>
      <c r="G181" s="25">
        <f t="shared" si="7"/>
        <v>2700</v>
      </c>
    </row>
    <row r="182" spans="1:7" x14ac:dyDescent="0.25">
      <c r="A182" s="253" t="s">
        <v>22</v>
      </c>
      <c r="B182" s="253"/>
      <c r="C182" s="253"/>
      <c r="D182" s="16"/>
      <c r="E182" s="17">
        <f>SUM(E178:E181)</f>
        <v>0</v>
      </c>
      <c r="F182" s="17">
        <f>SUM(F178:F181)</f>
        <v>381197.1</v>
      </c>
      <c r="G182" s="18">
        <f>SUM(G177:G181)</f>
        <v>381197.1</v>
      </c>
    </row>
    <row r="183" spans="1:7" x14ac:dyDescent="0.25">
      <c r="A183" s="15">
        <v>4</v>
      </c>
      <c r="B183" s="254" t="s">
        <v>83</v>
      </c>
      <c r="C183" s="254"/>
      <c r="D183" s="254"/>
      <c r="E183" s="254"/>
      <c r="F183" s="254"/>
      <c r="G183" s="254"/>
    </row>
    <row r="184" spans="1:7" x14ac:dyDescent="0.25">
      <c r="A184" s="253" t="s">
        <v>22</v>
      </c>
      <c r="B184" s="253"/>
      <c r="C184" s="253"/>
      <c r="D184" s="253"/>
      <c r="E184" s="253"/>
      <c r="F184" s="253"/>
      <c r="G184" s="18">
        <v>0</v>
      </c>
    </row>
    <row r="185" spans="1:7" x14ac:dyDescent="0.25">
      <c r="A185" s="15">
        <v>5</v>
      </c>
      <c r="B185" s="35" t="s">
        <v>84</v>
      </c>
      <c r="C185" s="35"/>
      <c r="D185" s="15" t="s">
        <v>26</v>
      </c>
      <c r="E185" s="36"/>
      <c r="F185" s="37"/>
      <c r="G185" s="38">
        <f>SUM(E185:F185)</f>
        <v>0</v>
      </c>
    </row>
    <row r="186" spans="1:7" x14ac:dyDescent="0.25">
      <c r="A186" s="31" t="s">
        <v>32</v>
      </c>
      <c r="B186" s="34" t="s">
        <v>3</v>
      </c>
      <c r="C186" s="32" t="s">
        <v>19</v>
      </c>
      <c r="D186" s="31"/>
      <c r="E186" s="23">
        <v>0</v>
      </c>
      <c r="F186" s="24">
        <v>29432.62</v>
      </c>
      <c r="G186" s="25">
        <f>SUM(E186:F186)</f>
        <v>29432.62</v>
      </c>
    </row>
    <row r="187" spans="1:7" x14ac:dyDescent="0.25">
      <c r="A187" s="253" t="s">
        <v>22</v>
      </c>
      <c r="B187" s="253"/>
      <c r="C187" s="253"/>
      <c r="D187" s="16"/>
      <c r="E187" s="17">
        <f>E186</f>
        <v>0</v>
      </c>
      <c r="F187" s="17">
        <f>F186</f>
        <v>29432.62</v>
      </c>
      <c r="G187" s="18">
        <f>E187+F187</f>
        <v>29432.62</v>
      </c>
    </row>
    <row r="188" spans="1:7" x14ac:dyDescent="0.25">
      <c r="A188" s="255" t="s">
        <v>1</v>
      </c>
      <c r="B188" s="255"/>
      <c r="C188" s="255"/>
      <c r="D188" s="255"/>
      <c r="E188" s="39">
        <f>E174+E176+E182+E187</f>
        <v>0</v>
      </c>
      <c r="F188" s="40">
        <f>F182+F187+F176+F174</f>
        <v>410629.72</v>
      </c>
      <c r="G188" s="39">
        <f>E188+F188</f>
        <v>410629.72</v>
      </c>
    </row>
    <row r="189" spans="1:7" x14ac:dyDescent="0.25">
      <c r="A189" s="266" t="s">
        <v>33</v>
      </c>
      <c r="B189" s="266"/>
      <c r="C189" s="266"/>
      <c r="D189" s="266"/>
      <c r="E189" s="266"/>
      <c r="F189" s="266"/>
      <c r="G189" s="266"/>
    </row>
    <row r="190" spans="1:7" x14ac:dyDescent="0.25">
      <c r="A190" s="12"/>
      <c r="B190" s="12"/>
      <c r="C190" s="11"/>
      <c r="D190" s="12"/>
      <c r="E190" s="12"/>
      <c r="F190" s="12"/>
      <c r="G190" s="12"/>
    </row>
    <row r="191" spans="1:7" x14ac:dyDescent="0.25">
      <c r="A191" s="258" t="s">
        <v>100</v>
      </c>
      <c r="B191" s="258"/>
      <c r="C191" s="258"/>
      <c r="D191" s="258"/>
      <c r="E191" s="258"/>
      <c r="F191" s="258"/>
      <c r="G191" s="258"/>
    </row>
    <row r="192" spans="1:7" ht="38.25" x14ac:dyDescent="0.25">
      <c r="A192" s="13" t="s">
        <v>27</v>
      </c>
      <c r="B192" s="13" t="s">
        <v>28</v>
      </c>
      <c r="C192" s="13" t="s">
        <v>29</v>
      </c>
      <c r="D192" s="13" t="s">
        <v>2</v>
      </c>
      <c r="E192" s="14" t="s">
        <v>89</v>
      </c>
      <c r="F192" s="14" t="s">
        <v>90</v>
      </c>
      <c r="G192" s="14" t="s">
        <v>91</v>
      </c>
    </row>
    <row r="193" spans="1:7" x14ac:dyDescent="0.25">
      <c r="A193" s="15">
        <v>1</v>
      </c>
      <c r="B193" s="254" t="s">
        <v>80</v>
      </c>
      <c r="C193" s="254"/>
      <c r="D193" s="254"/>
      <c r="E193" s="254"/>
      <c r="F193" s="254"/>
      <c r="G193" s="254"/>
    </row>
    <row r="194" spans="1:7" x14ac:dyDescent="0.25">
      <c r="A194" s="253" t="s">
        <v>22</v>
      </c>
      <c r="B194" s="253"/>
      <c r="C194" s="253"/>
      <c r="D194" s="16"/>
      <c r="E194" s="17">
        <f>0</f>
        <v>0</v>
      </c>
      <c r="F194" s="17">
        <v>0</v>
      </c>
      <c r="G194" s="18">
        <v>0</v>
      </c>
    </row>
    <row r="195" spans="1:7" x14ac:dyDescent="0.25">
      <c r="A195" s="15">
        <v>2</v>
      </c>
      <c r="B195" s="254" t="s">
        <v>81</v>
      </c>
      <c r="C195" s="254"/>
      <c r="D195" s="254"/>
      <c r="E195" s="254"/>
      <c r="F195" s="254"/>
      <c r="G195" s="254"/>
    </row>
    <row r="196" spans="1:7" x14ac:dyDescent="0.25">
      <c r="A196" s="253" t="s">
        <v>22</v>
      </c>
      <c r="B196" s="253"/>
      <c r="C196" s="253"/>
      <c r="D196" s="16"/>
      <c r="E196" s="19">
        <f>0</f>
        <v>0</v>
      </c>
      <c r="F196" s="19">
        <f>0</f>
        <v>0</v>
      </c>
      <c r="G196" s="20">
        <f>G195</f>
        <v>0</v>
      </c>
    </row>
    <row r="197" spans="1:7" x14ac:dyDescent="0.25">
      <c r="A197" s="15">
        <v>3</v>
      </c>
      <c r="B197" s="254" t="s">
        <v>82</v>
      </c>
      <c r="C197" s="254"/>
      <c r="D197" s="254"/>
      <c r="E197" s="254"/>
      <c r="F197" s="254"/>
      <c r="G197" s="254"/>
    </row>
    <row r="198" spans="1:7" x14ac:dyDescent="0.25">
      <c r="A198" s="27" t="s">
        <v>4</v>
      </c>
      <c r="B198" s="60" t="s">
        <v>7</v>
      </c>
      <c r="C198" s="60" t="s">
        <v>111</v>
      </c>
      <c r="D198" s="27" t="s">
        <v>17</v>
      </c>
      <c r="E198" s="28">
        <v>0</v>
      </c>
      <c r="F198" s="29">
        <v>11912</v>
      </c>
      <c r="G198" s="30">
        <f t="shared" ref="G198:G204" si="8">SUM(E198:F198)</f>
        <v>11912</v>
      </c>
    </row>
    <row r="199" spans="1:7" x14ac:dyDescent="0.25">
      <c r="A199" s="31" t="s">
        <v>5</v>
      </c>
      <c r="B199" s="34" t="s">
        <v>51</v>
      </c>
      <c r="C199" s="32" t="s">
        <v>86</v>
      </c>
      <c r="D199" s="31" t="s">
        <v>12</v>
      </c>
      <c r="E199" s="23">
        <v>0</v>
      </c>
      <c r="F199" s="24">
        <v>80899.48</v>
      </c>
      <c r="G199" s="25">
        <f t="shared" si="8"/>
        <v>80899.48</v>
      </c>
    </row>
    <row r="200" spans="1:7" x14ac:dyDescent="0.25">
      <c r="A200" s="256" t="s">
        <v>6</v>
      </c>
      <c r="B200" s="257" t="s">
        <v>10</v>
      </c>
      <c r="C200" s="26" t="s">
        <v>11</v>
      </c>
      <c r="D200" s="27" t="s">
        <v>20</v>
      </c>
      <c r="E200" s="28">
        <v>0</v>
      </c>
      <c r="F200" s="29">
        <v>42694.8</v>
      </c>
      <c r="G200" s="30">
        <f t="shared" si="8"/>
        <v>42694.8</v>
      </c>
    </row>
    <row r="201" spans="1:7" x14ac:dyDescent="0.25">
      <c r="A201" s="256"/>
      <c r="B201" s="257"/>
      <c r="C201" s="26" t="s">
        <v>86</v>
      </c>
      <c r="D201" s="27"/>
      <c r="E201" s="28">
        <v>0</v>
      </c>
      <c r="F201" s="29">
        <f>20544.47+20544.47</f>
        <v>41088.94</v>
      </c>
      <c r="G201" s="30">
        <f t="shared" si="8"/>
        <v>41088.94</v>
      </c>
    </row>
    <row r="202" spans="1:7" x14ac:dyDescent="0.25">
      <c r="A202" s="31" t="s">
        <v>18</v>
      </c>
      <c r="B202" s="34" t="s">
        <v>13</v>
      </c>
      <c r="C202" s="32" t="s">
        <v>14</v>
      </c>
      <c r="D202" s="31" t="s">
        <v>21</v>
      </c>
      <c r="E202" s="23">
        <v>0</v>
      </c>
      <c r="F202" s="24">
        <v>8532.1</v>
      </c>
      <c r="G202" s="25">
        <f t="shared" si="8"/>
        <v>8532.1</v>
      </c>
    </row>
    <row r="203" spans="1:7" x14ac:dyDescent="0.25">
      <c r="A203" s="27" t="s">
        <v>23</v>
      </c>
      <c r="B203" s="33" t="s">
        <v>0</v>
      </c>
      <c r="C203" s="26" t="s">
        <v>31</v>
      </c>
      <c r="D203" s="27"/>
      <c r="E203" s="28">
        <v>0</v>
      </c>
      <c r="F203" s="29">
        <v>276197.09999999998</v>
      </c>
      <c r="G203" s="30">
        <f t="shared" si="8"/>
        <v>276197.09999999998</v>
      </c>
    </row>
    <row r="204" spans="1:7" x14ac:dyDescent="0.25">
      <c r="A204" s="61" t="s">
        <v>25</v>
      </c>
      <c r="B204" s="34" t="s">
        <v>104</v>
      </c>
      <c r="C204" s="62" t="s">
        <v>104</v>
      </c>
      <c r="D204" s="61"/>
      <c r="E204" s="23">
        <v>0</v>
      </c>
      <c r="F204" s="24">
        <v>2700</v>
      </c>
      <c r="G204" s="25">
        <f t="shared" si="8"/>
        <v>2700</v>
      </c>
    </row>
    <row r="205" spans="1:7" x14ac:dyDescent="0.25">
      <c r="A205" s="253" t="s">
        <v>22</v>
      </c>
      <c r="B205" s="253"/>
      <c r="C205" s="253"/>
      <c r="D205" s="16"/>
      <c r="E205" s="17">
        <f>SUM(E198:E204)</f>
        <v>0</v>
      </c>
      <c r="F205" s="17">
        <f>SUM(F198:F204)</f>
        <v>464024.42</v>
      </c>
      <c r="G205" s="18">
        <f>SUM(G197:G204)</f>
        <v>464024.42</v>
      </c>
    </row>
    <row r="206" spans="1:7" x14ac:dyDescent="0.25">
      <c r="A206" s="15">
        <v>4</v>
      </c>
      <c r="B206" s="254" t="s">
        <v>83</v>
      </c>
      <c r="C206" s="254"/>
      <c r="D206" s="254"/>
      <c r="E206" s="254"/>
      <c r="F206" s="254"/>
      <c r="G206" s="254"/>
    </row>
    <row r="207" spans="1:7" x14ac:dyDescent="0.25">
      <c r="A207" s="253" t="s">
        <v>22</v>
      </c>
      <c r="B207" s="253"/>
      <c r="C207" s="253"/>
      <c r="D207" s="253"/>
      <c r="E207" s="253"/>
      <c r="F207" s="253"/>
      <c r="G207" s="18">
        <v>0</v>
      </c>
    </row>
    <row r="208" spans="1:7" x14ac:dyDescent="0.25">
      <c r="A208" s="15">
        <v>5</v>
      </c>
      <c r="B208" s="35" t="s">
        <v>84</v>
      </c>
      <c r="C208" s="35"/>
      <c r="D208" s="15" t="s">
        <v>26</v>
      </c>
      <c r="E208" s="36"/>
      <c r="F208" s="37"/>
      <c r="G208" s="38">
        <f>SUM(E208:F208)</f>
        <v>0</v>
      </c>
    </row>
    <row r="209" spans="1:7" x14ac:dyDescent="0.25">
      <c r="A209" s="31" t="s">
        <v>32</v>
      </c>
      <c r="B209" s="34" t="s">
        <v>3</v>
      </c>
      <c r="C209" s="32" t="s">
        <v>19</v>
      </c>
      <c r="D209" s="31"/>
      <c r="E209" s="23">
        <v>0</v>
      </c>
      <c r="F209" s="24">
        <v>27883.94</v>
      </c>
      <c r="G209" s="25">
        <f>SUM(E209:F209)</f>
        <v>27883.94</v>
      </c>
    </row>
    <row r="210" spans="1:7" x14ac:dyDescent="0.25">
      <c r="A210" s="253" t="s">
        <v>22</v>
      </c>
      <c r="B210" s="253"/>
      <c r="C210" s="253"/>
      <c r="D210" s="16"/>
      <c r="E210" s="17">
        <f>E209</f>
        <v>0</v>
      </c>
      <c r="F210" s="17">
        <f>F209</f>
        <v>27883.94</v>
      </c>
      <c r="G210" s="18">
        <f>E210+F210</f>
        <v>27883.94</v>
      </c>
    </row>
    <row r="211" spans="1:7" x14ac:dyDescent="0.25">
      <c r="A211" s="255" t="s">
        <v>1</v>
      </c>
      <c r="B211" s="255"/>
      <c r="C211" s="255"/>
      <c r="D211" s="255"/>
      <c r="E211" s="39">
        <f>E194+E196+E205+E210</f>
        <v>0</v>
      </c>
      <c r="F211" s="40">
        <f>F205+F210+F196+F194</f>
        <v>491908.36</v>
      </c>
      <c r="G211" s="39">
        <f>E211+F211</f>
        <v>491908.36</v>
      </c>
    </row>
    <row r="212" spans="1:7" x14ac:dyDescent="0.25">
      <c r="A212" s="266" t="s">
        <v>33</v>
      </c>
      <c r="B212" s="266"/>
      <c r="C212" s="266"/>
      <c r="D212" s="266"/>
      <c r="E212" s="266"/>
      <c r="F212" s="266"/>
      <c r="G212" s="266"/>
    </row>
    <row r="213" spans="1:7" x14ac:dyDescent="0.25">
      <c r="A213" s="12"/>
      <c r="B213" s="12"/>
      <c r="C213" s="11"/>
      <c r="D213" s="12"/>
      <c r="E213" s="12"/>
      <c r="F213" s="12"/>
      <c r="G213" s="12"/>
    </row>
    <row r="214" spans="1:7" x14ac:dyDescent="0.25">
      <c r="A214" s="258" t="s">
        <v>101</v>
      </c>
      <c r="B214" s="258"/>
      <c r="C214" s="258"/>
      <c r="D214" s="258"/>
      <c r="E214" s="258"/>
      <c r="F214" s="258"/>
      <c r="G214" s="258"/>
    </row>
    <row r="215" spans="1:7" ht="38.25" x14ac:dyDescent="0.25">
      <c r="A215" s="13" t="s">
        <v>27</v>
      </c>
      <c r="B215" s="13" t="s">
        <v>28</v>
      </c>
      <c r="C215" s="13" t="s">
        <v>29</v>
      </c>
      <c r="D215" s="13" t="s">
        <v>2</v>
      </c>
      <c r="E215" s="14" t="s">
        <v>89</v>
      </c>
      <c r="F215" s="14" t="s">
        <v>90</v>
      </c>
      <c r="G215" s="14" t="s">
        <v>91</v>
      </c>
    </row>
    <row r="216" spans="1:7" x14ac:dyDescent="0.25">
      <c r="A216" s="15">
        <v>1</v>
      </c>
      <c r="B216" s="254" t="s">
        <v>80</v>
      </c>
      <c r="C216" s="254"/>
      <c r="D216" s="254"/>
      <c r="E216" s="254"/>
      <c r="F216" s="254"/>
      <c r="G216" s="254"/>
    </row>
    <row r="217" spans="1:7" x14ac:dyDescent="0.25">
      <c r="A217" s="31" t="s">
        <v>48</v>
      </c>
      <c r="B217" s="32" t="s">
        <v>63</v>
      </c>
      <c r="C217" s="32" t="s">
        <v>64</v>
      </c>
      <c r="D217" s="41"/>
      <c r="E217" s="49">
        <v>0</v>
      </c>
      <c r="F217" s="42">
        <v>0</v>
      </c>
      <c r="G217" s="43">
        <f>E217+F217</f>
        <v>0</v>
      </c>
    </row>
    <row r="218" spans="1:7" x14ac:dyDescent="0.25">
      <c r="A218" s="253" t="s">
        <v>22</v>
      </c>
      <c r="B218" s="253"/>
      <c r="C218" s="253"/>
      <c r="D218" s="16"/>
      <c r="E218" s="17">
        <f>0</f>
        <v>0</v>
      </c>
      <c r="F218" s="17">
        <f>F217</f>
        <v>0</v>
      </c>
      <c r="G218" s="18">
        <f>G217</f>
        <v>0</v>
      </c>
    </row>
    <row r="219" spans="1:7" x14ac:dyDescent="0.25">
      <c r="A219" s="15">
        <v>2</v>
      </c>
      <c r="B219" s="254" t="s">
        <v>81</v>
      </c>
      <c r="C219" s="254"/>
      <c r="D219" s="254"/>
      <c r="E219" s="254"/>
      <c r="F219" s="254"/>
      <c r="G219" s="254"/>
    </row>
    <row r="220" spans="1:7" x14ac:dyDescent="0.25">
      <c r="A220" s="253" t="s">
        <v>22</v>
      </c>
      <c r="B220" s="253"/>
      <c r="C220" s="253"/>
      <c r="D220" s="16"/>
      <c r="E220" s="19">
        <f>0</f>
        <v>0</v>
      </c>
      <c r="F220" s="19">
        <f>0</f>
        <v>0</v>
      </c>
      <c r="G220" s="20">
        <f>G219</f>
        <v>0</v>
      </c>
    </row>
    <row r="221" spans="1:7" x14ac:dyDescent="0.25">
      <c r="A221" s="15">
        <v>3</v>
      </c>
      <c r="B221" s="254" t="s">
        <v>82</v>
      </c>
      <c r="C221" s="254"/>
      <c r="D221" s="254"/>
      <c r="E221" s="254"/>
      <c r="F221" s="254"/>
      <c r="G221" s="254"/>
    </row>
    <row r="222" spans="1:7" x14ac:dyDescent="0.25">
      <c r="A222" s="59" t="s">
        <v>4</v>
      </c>
      <c r="B222" s="60" t="s">
        <v>112</v>
      </c>
      <c r="C222" s="60" t="s">
        <v>113</v>
      </c>
      <c r="D222" s="59" t="s">
        <v>17</v>
      </c>
      <c r="E222" s="28">
        <v>0</v>
      </c>
      <c r="F222" s="29">
        <v>20470</v>
      </c>
      <c r="G222" s="30">
        <f t="shared" ref="G222:G228" si="9">SUM(E222:F222)</f>
        <v>20470</v>
      </c>
    </row>
    <row r="223" spans="1:7" x14ac:dyDescent="0.25">
      <c r="A223" s="61" t="s">
        <v>5</v>
      </c>
      <c r="B223" s="34" t="s">
        <v>51</v>
      </c>
      <c r="C223" s="32" t="s">
        <v>86</v>
      </c>
      <c r="D223" s="31" t="s">
        <v>12</v>
      </c>
      <c r="E223" s="23">
        <v>0</v>
      </c>
      <c r="F223" s="24">
        <v>80899.48</v>
      </c>
      <c r="G223" s="25">
        <f t="shared" si="9"/>
        <v>80899.48</v>
      </c>
    </row>
    <row r="224" spans="1:7" x14ac:dyDescent="0.25">
      <c r="A224" s="256" t="s">
        <v>6</v>
      </c>
      <c r="B224" s="257" t="s">
        <v>10</v>
      </c>
      <c r="C224" s="26" t="s">
        <v>11</v>
      </c>
      <c r="D224" s="27" t="s">
        <v>20</v>
      </c>
      <c r="E224" s="28">
        <v>0</v>
      </c>
      <c r="F224" s="29">
        <v>0</v>
      </c>
      <c r="G224" s="30">
        <f t="shared" si="9"/>
        <v>0</v>
      </c>
    </row>
    <row r="225" spans="1:7" x14ac:dyDescent="0.25">
      <c r="A225" s="256"/>
      <c r="B225" s="257"/>
      <c r="C225" s="26" t="s">
        <v>86</v>
      </c>
      <c r="D225" s="27"/>
      <c r="E225" s="28">
        <v>0</v>
      </c>
      <c r="F225" s="29">
        <v>20544.47</v>
      </c>
      <c r="G225" s="30">
        <f t="shared" si="9"/>
        <v>20544.47</v>
      </c>
    </row>
    <row r="226" spans="1:7" x14ac:dyDescent="0.25">
      <c r="A226" s="61" t="s">
        <v>18</v>
      </c>
      <c r="B226" s="34" t="s">
        <v>13</v>
      </c>
      <c r="C226" s="32" t="s">
        <v>14</v>
      </c>
      <c r="D226" s="31" t="s">
        <v>21</v>
      </c>
      <c r="E226" s="23">
        <v>0</v>
      </c>
      <c r="F226" s="24">
        <v>10007.98</v>
      </c>
      <c r="G226" s="25">
        <f t="shared" si="9"/>
        <v>10007.98</v>
      </c>
    </row>
    <row r="227" spans="1:7" x14ac:dyDescent="0.25">
      <c r="A227" s="59" t="s">
        <v>23</v>
      </c>
      <c r="B227" s="33" t="s">
        <v>0</v>
      </c>
      <c r="C227" s="26" t="s">
        <v>31</v>
      </c>
      <c r="D227" s="27"/>
      <c r="E227" s="28">
        <v>0</v>
      </c>
      <c r="F227" s="29">
        <v>285565.32</v>
      </c>
      <c r="G227" s="30">
        <f t="shared" si="9"/>
        <v>285565.32</v>
      </c>
    </row>
    <row r="228" spans="1:7" x14ac:dyDescent="0.25">
      <c r="A228" s="61" t="s">
        <v>24</v>
      </c>
      <c r="B228" s="34" t="s">
        <v>104</v>
      </c>
      <c r="C228" s="62" t="s">
        <v>104</v>
      </c>
      <c r="D228" s="31"/>
      <c r="E228" s="23">
        <v>0</v>
      </c>
      <c r="F228" s="24">
        <v>2700</v>
      </c>
      <c r="G228" s="25">
        <f t="shared" si="9"/>
        <v>2700</v>
      </c>
    </row>
    <row r="229" spans="1:7" x14ac:dyDescent="0.25">
      <c r="A229" s="253" t="s">
        <v>22</v>
      </c>
      <c r="B229" s="253"/>
      <c r="C229" s="253"/>
      <c r="D229" s="16"/>
      <c r="E229" s="17">
        <f>SUM(E222:E228)</f>
        <v>0</v>
      </c>
      <c r="F229" s="17">
        <f>SUM(F222:F228)</f>
        <v>420187.25</v>
      </c>
      <c r="G229" s="18">
        <f>SUM(G221:G228)</f>
        <v>420187.25</v>
      </c>
    </row>
    <row r="230" spans="1:7" x14ac:dyDescent="0.25">
      <c r="A230" s="15">
        <v>4</v>
      </c>
      <c r="B230" s="254" t="s">
        <v>83</v>
      </c>
      <c r="C230" s="254"/>
      <c r="D230" s="254"/>
      <c r="E230" s="254"/>
      <c r="F230" s="254"/>
      <c r="G230" s="254"/>
    </row>
    <row r="231" spans="1:7" x14ac:dyDescent="0.25">
      <c r="A231" s="253" t="s">
        <v>22</v>
      </c>
      <c r="B231" s="253"/>
      <c r="C231" s="253"/>
      <c r="D231" s="16"/>
      <c r="E231" s="17">
        <v>0</v>
      </c>
      <c r="F231" s="17">
        <v>0</v>
      </c>
      <c r="G231" s="18">
        <v>0</v>
      </c>
    </row>
    <row r="232" spans="1:7" x14ac:dyDescent="0.25">
      <c r="A232" s="15">
        <v>5</v>
      </c>
      <c r="B232" s="35" t="s">
        <v>84</v>
      </c>
      <c r="C232" s="35"/>
      <c r="D232" s="15" t="s">
        <v>26</v>
      </c>
      <c r="E232" s="36"/>
      <c r="F232" s="37"/>
      <c r="G232" s="38">
        <f>SUM(E232:F232)</f>
        <v>0</v>
      </c>
    </row>
    <row r="233" spans="1:7" x14ac:dyDescent="0.25">
      <c r="A233" s="31" t="s">
        <v>32</v>
      </c>
      <c r="B233" s="34" t="s">
        <v>3</v>
      </c>
      <c r="C233" s="32" t="s">
        <v>19</v>
      </c>
      <c r="D233" s="31"/>
      <c r="E233" s="23">
        <v>-238.87</v>
      </c>
      <c r="F233" s="24">
        <v>33936.83</v>
      </c>
      <c r="G233" s="25">
        <f>SUM(E233:F233)</f>
        <v>33697.96</v>
      </c>
    </row>
    <row r="234" spans="1:7" x14ac:dyDescent="0.25">
      <c r="A234" s="253" t="s">
        <v>22</v>
      </c>
      <c r="B234" s="253"/>
      <c r="C234" s="253"/>
      <c r="D234" s="16"/>
      <c r="E234" s="17">
        <f>E233</f>
        <v>-238.87</v>
      </c>
      <c r="F234" s="17">
        <f>F233</f>
        <v>33936.83</v>
      </c>
      <c r="G234" s="18">
        <f>E234+F234</f>
        <v>33697.96</v>
      </c>
    </row>
    <row r="235" spans="1:7" x14ac:dyDescent="0.25">
      <c r="A235" s="255" t="s">
        <v>1</v>
      </c>
      <c r="B235" s="255"/>
      <c r="C235" s="255"/>
      <c r="D235" s="255"/>
      <c r="E235" s="39">
        <f>E218+E220+E229+E234</f>
        <v>-238.87</v>
      </c>
      <c r="F235" s="40">
        <f>F229+F234+F220+F218+F231</f>
        <v>454124.08</v>
      </c>
      <c r="G235" s="39">
        <f>E235+F235</f>
        <v>453885.21</v>
      </c>
    </row>
    <row r="236" spans="1:7" x14ac:dyDescent="0.25">
      <c r="A236" s="266" t="s">
        <v>33</v>
      </c>
      <c r="B236" s="266"/>
      <c r="C236" s="266"/>
      <c r="D236" s="266"/>
      <c r="E236" s="266"/>
      <c r="F236" s="266"/>
      <c r="G236" s="266"/>
    </row>
    <row r="237" spans="1:7" x14ac:dyDescent="0.25">
      <c r="A237" s="12"/>
      <c r="B237" s="12"/>
      <c r="C237" s="11"/>
      <c r="D237" s="12"/>
      <c r="E237" s="12"/>
      <c r="F237" s="12"/>
      <c r="G237" s="12"/>
    </row>
    <row r="238" spans="1:7" x14ac:dyDescent="0.25">
      <c r="A238" s="258" t="s">
        <v>102</v>
      </c>
      <c r="B238" s="258"/>
      <c r="C238" s="258"/>
      <c r="D238" s="258"/>
      <c r="E238" s="258"/>
      <c r="F238" s="258"/>
      <c r="G238" s="258"/>
    </row>
    <row r="239" spans="1:7" ht="38.25" x14ac:dyDescent="0.25">
      <c r="A239" s="13" t="s">
        <v>27</v>
      </c>
      <c r="B239" s="13" t="s">
        <v>28</v>
      </c>
      <c r="C239" s="13" t="s">
        <v>29</v>
      </c>
      <c r="D239" s="13" t="s">
        <v>2</v>
      </c>
      <c r="E239" s="14" t="s">
        <v>89</v>
      </c>
      <c r="F239" s="14" t="s">
        <v>90</v>
      </c>
      <c r="G239" s="14" t="s">
        <v>91</v>
      </c>
    </row>
    <row r="240" spans="1:7" x14ac:dyDescent="0.25">
      <c r="A240" s="15">
        <v>1</v>
      </c>
      <c r="B240" s="254" t="s">
        <v>80</v>
      </c>
      <c r="C240" s="254"/>
      <c r="D240" s="254"/>
      <c r="E240" s="254"/>
      <c r="F240" s="254"/>
      <c r="G240" s="254"/>
    </row>
    <row r="241" spans="1:7" x14ac:dyDescent="0.25">
      <c r="A241" s="253" t="s">
        <v>22</v>
      </c>
      <c r="B241" s="253"/>
      <c r="C241" s="253"/>
      <c r="D241" s="16"/>
      <c r="E241" s="17">
        <f>0</f>
        <v>0</v>
      </c>
      <c r="F241" s="17">
        <v>0</v>
      </c>
      <c r="G241" s="18">
        <v>0</v>
      </c>
    </row>
    <row r="242" spans="1:7" x14ac:dyDescent="0.25">
      <c r="A242" s="15">
        <v>2</v>
      </c>
      <c r="B242" s="254" t="s">
        <v>81</v>
      </c>
      <c r="C242" s="254"/>
      <c r="D242" s="254"/>
      <c r="E242" s="254"/>
      <c r="F242" s="254"/>
      <c r="G242" s="254"/>
    </row>
    <row r="243" spans="1:7" x14ac:dyDescent="0.25">
      <c r="A243" s="253" t="s">
        <v>22</v>
      </c>
      <c r="B243" s="253"/>
      <c r="C243" s="253"/>
      <c r="D243" s="16"/>
      <c r="E243" s="19">
        <f>0</f>
        <v>0</v>
      </c>
      <c r="F243" s="19">
        <f>0</f>
        <v>0</v>
      </c>
      <c r="G243" s="20">
        <f>G242</f>
        <v>0</v>
      </c>
    </row>
    <row r="244" spans="1:7" x14ac:dyDescent="0.25">
      <c r="A244" s="15">
        <v>3</v>
      </c>
      <c r="B244" s="254" t="s">
        <v>82</v>
      </c>
      <c r="C244" s="254"/>
      <c r="D244" s="254"/>
      <c r="E244" s="254"/>
      <c r="F244" s="254"/>
      <c r="G244" s="254"/>
    </row>
    <row r="245" spans="1:7" x14ac:dyDescent="0.25">
      <c r="A245" s="31" t="s">
        <v>4</v>
      </c>
      <c r="B245" s="60" t="s">
        <v>112</v>
      </c>
      <c r="C245" s="60" t="s">
        <v>113</v>
      </c>
      <c r="D245" s="31" t="s">
        <v>17</v>
      </c>
      <c r="E245" s="23">
        <v>0</v>
      </c>
      <c r="F245" s="24">
        <v>20470</v>
      </c>
      <c r="G245" s="30">
        <f t="shared" ref="G245:G251" si="10">SUM(E245:F245)</f>
        <v>20470</v>
      </c>
    </row>
    <row r="246" spans="1:7" x14ac:dyDescent="0.25">
      <c r="A246" s="61" t="s">
        <v>5</v>
      </c>
      <c r="B246" s="34" t="s">
        <v>51</v>
      </c>
      <c r="C246" s="32" t="s">
        <v>86</v>
      </c>
      <c r="D246" s="31" t="s">
        <v>12</v>
      </c>
      <c r="E246" s="23">
        <v>0</v>
      </c>
      <c r="F246" s="24">
        <v>80899.48</v>
      </c>
      <c r="G246" s="25">
        <f t="shared" si="10"/>
        <v>80899.48</v>
      </c>
    </row>
    <row r="247" spans="1:7" x14ac:dyDescent="0.25">
      <c r="A247" s="256" t="s">
        <v>6</v>
      </c>
      <c r="B247" s="257" t="s">
        <v>10</v>
      </c>
      <c r="C247" s="26" t="s">
        <v>11</v>
      </c>
      <c r="D247" s="27" t="s">
        <v>20</v>
      </c>
      <c r="E247" s="28">
        <v>0</v>
      </c>
      <c r="F247" s="29">
        <v>0</v>
      </c>
      <c r="G247" s="30">
        <f t="shared" si="10"/>
        <v>0</v>
      </c>
    </row>
    <row r="248" spans="1:7" x14ac:dyDescent="0.25">
      <c r="A248" s="256"/>
      <c r="B248" s="257"/>
      <c r="C248" s="26" t="s">
        <v>86</v>
      </c>
      <c r="D248" s="27"/>
      <c r="E248" s="28">
        <v>0</v>
      </c>
      <c r="F248" s="29">
        <v>20945.8</v>
      </c>
      <c r="G248" s="30">
        <f t="shared" si="10"/>
        <v>20945.8</v>
      </c>
    </row>
    <row r="249" spans="1:7" x14ac:dyDescent="0.25">
      <c r="A249" s="61" t="s">
        <v>18</v>
      </c>
      <c r="B249" s="34" t="s">
        <v>13</v>
      </c>
      <c r="C249" s="32" t="s">
        <v>14</v>
      </c>
      <c r="D249" s="31" t="s">
        <v>21</v>
      </c>
      <c r="E249" s="23">
        <v>0</v>
      </c>
      <c r="F249" s="24">
        <v>9236.9</v>
      </c>
      <c r="G249" s="25">
        <f t="shared" si="10"/>
        <v>9236.9</v>
      </c>
    </row>
    <row r="250" spans="1:7" x14ac:dyDescent="0.25">
      <c r="A250" s="59" t="s">
        <v>23</v>
      </c>
      <c r="B250" s="33" t="s">
        <v>74</v>
      </c>
      <c r="C250" s="26" t="s">
        <v>31</v>
      </c>
      <c r="D250" s="27"/>
      <c r="E250" s="28">
        <v>0</v>
      </c>
      <c r="F250" s="29">
        <v>285081.98</v>
      </c>
      <c r="G250" s="30">
        <f t="shared" si="10"/>
        <v>285081.98</v>
      </c>
    </row>
    <row r="251" spans="1:7" x14ac:dyDescent="0.25">
      <c r="A251" s="61" t="s">
        <v>24</v>
      </c>
      <c r="B251" s="34" t="s">
        <v>104</v>
      </c>
      <c r="C251" s="62" t="s">
        <v>104</v>
      </c>
      <c r="D251" s="31"/>
      <c r="E251" s="23">
        <v>0</v>
      </c>
      <c r="F251" s="24">
        <v>2700</v>
      </c>
      <c r="G251" s="25">
        <f t="shared" si="10"/>
        <v>2700</v>
      </c>
    </row>
    <row r="252" spans="1:7" x14ac:dyDescent="0.25">
      <c r="A252" s="253" t="s">
        <v>22</v>
      </c>
      <c r="B252" s="253"/>
      <c r="C252" s="253"/>
      <c r="D252" s="16"/>
      <c r="E252" s="17">
        <f>SUM(E245:E251)</f>
        <v>0</v>
      </c>
      <c r="F252" s="17">
        <f>SUM(F245:F251)</f>
        <v>419334.16</v>
      </c>
      <c r="G252" s="18">
        <f>SUM(G244:G251)</f>
        <v>419334.16</v>
      </c>
    </row>
    <row r="253" spans="1:7" x14ac:dyDescent="0.25">
      <c r="A253" s="15">
        <v>4</v>
      </c>
      <c r="B253" s="254" t="s">
        <v>83</v>
      </c>
      <c r="C253" s="254"/>
      <c r="D253" s="254"/>
      <c r="E253" s="254"/>
      <c r="F253" s="254"/>
      <c r="G253" s="254"/>
    </row>
    <row r="254" spans="1:7" x14ac:dyDescent="0.25">
      <c r="A254" s="253" t="s">
        <v>22</v>
      </c>
      <c r="B254" s="253"/>
      <c r="C254" s="253"/>
      <c r="D254" s="16"/>
      <c r="E254" s="17">
        <v>0</v>
      </c>
      <c r="F254" s="17">
        <v>0</v>
      </c>
      <c r="G254" s="18">
        <v>0</v>
      </c>
    </row>
    <row r="255" spans="1:7" x14ac:dyDescent="0.25">
      <c r="A255" s="15">
        <v>5</v>
      </c>
      <c r="B255" s="35" t="s">
        <v>84</v>
      </c>
      <c r="C255" s="35"/>
      <c r="D255" s="15" t="s">
        <v>26</v>
      </c>
      <c r="E255" s="36"/>
      <c r="F255" s="37"/>
      <c r="G255" s="38">
        <f>SUM(E255:F255)</f>
        <v>0</v>
      </c>
    </row>
    <row r="256" spans="1:7" x14ac:dyDescent="0.25">
      <c r="A256" s="31" t="s">
        <v>32</v>
      </c>
      <c r="B256" s="34" t="s">
        <v>3</v>
      </c>
      <c r="C256" s="32" t="s">
        <v>19</v>
      </c>
      <c r="D256" s="31"/>
      <c r="E256" s="23">
        <v>0</v>
      </c>
      <c r="F256" s="24">
        <v>44043.94</v>
      </c>
      <c r="G256" s="25">
        <f>SUM(E256:F256)</f>
        <v>44043.94</v>
      </c>
    </row>
    <row r="257" spans="1:7" x14ac:dyDescent="0.25">
      <c r="A257" s="253" t="s">
        <v>22</v>
      </c>
      <c r="B257" s="253"/>
      <c r="C257" s="253"/>
      <c r="D257" s="16"/>
      <c r="E257" s="17">
        <f>E256</f>
        <v>0</v>
      </c>
      <c r="F257" s="17">
        <f>F256</f>
        <v>44043.94</v>
      </c>
      <c r="G257" s="18">
        <f>E257+F257</f>
        <v>44043.94</v>
      </c>
    </row>
    <row r="258" spans="1:7" x14ac:dyDescent="0.25">
      <c r="A258" s="255" t="s">
        <v>1</v>
      </c>
      <c r="B258" s="255"/>
      <c r="C258" s="255"/>
      <c r="D258" s="255"/>
      <c r="E258" s="39">
        <f>E241+E243+E252+E257</f>
        <v>0</v>
      </c>
      <c r="F258" s="40">
        <f>F252+F257+F243+F241+F254</f>
        <v>463378.1</v>
      </c>
      <c r="G258" s="39">
        <f>E258+F258</f>
        <v>463378.1</v>
      </c>
    </row>
    <row r="259" spans="1:7" x14ac:dyDescent="0.25">
      <c r="A259" s="266" t="s">
        <v>33</v>
      </c>
      <c r="B259" s="266"/>
      <c r="C259" s="266"/>
      <c r="D259" s="266"/>
      <c r="E259" s="266"/>
      <c r="F259" s="266"/>
      <c r="G259" s="266"/>
    </row>
    <row r="260" spans="1:7" x14ac:dyDescent="0.25">
      <c r="A260" s="12"/>
      <c r="B260" s="12"/>
      <c r="C260" s="11"/>
      <c r="D260" s="12"/>
      <c r="E260" s="12"/>
      <c r="F260" s="12"/>
      <c r="G260" s="12"/>
    </row>
    <row r="261" spans="1:7" x14ac:dyDescent="0.25">
      <c r="A261" s="258" t="s">
        <v>103</v>
      </c>
      <c r="B261" s="258"/>
      <c r="C261" s="258"/>
      <c r="D261" s="258"/>
      <c r="E261" s="258"/>
      <c r="F261" s="258"/>
      <c r="G261" s="258"/>
    </row>
    <row r="262" spans="1:7" ht="38.25" x14ac:dyDescent="0.25">
      <c r="A262" s="13" t="s">
        <v>27</v>
      </c>
      <c r="B262" s="13" t="s">
        <v>28</v>
      </c>
      <c r="C262" s="13" t="s">
        <v>29</v>
      </c>
      <c r="D262" s="13" t="s">
        <v>2</v>
      </c>
      <c r="E262" s="14" t="s">
        <v>89</v>
      </c>
      <c r="F262" s="14" t="s">
        <v>90</v>
      </c>
      <c r="G262" s="14" t="s">
        <v>91</v>
      </c>
    </row>
    <row r="263" spans="1:7" x14ac:dyDescent="0.25">
      <c r="A263" s="15">
        <v>1</v>
      </c>
      <c r="B263" s="254" t="s">
        <v>80</v>
      </c>
      <c r="C263" s="254"/>
      <c r="D263" s="254"/>
      <c r="E263" s="254"/>
      <c r="F263" s="254"/>
      <c r="G263" s="254"/>
    </row>
    <row r="264" spans="1:7" s="1" customFormat="1" x14ac:dyDescent="0.25">
      <c r="A264" s="61" t="s">
        <v>48</v>
      </c>
      <c r="B264" s="62" t="s">
        <v>114</v>
      </c>
      <c r="C264" s="62" t="s">
        <v>46</v>
      </c>
      <c r="D264" s="41"/>
      <c r="E264" s="49">
        <v>0</v>
      </c>
      <c r="F264" s="42">
        <v>1910</v>
      </c>
      <c r="G264" s="43">
        <f>E264+F264</f>
        <v>1910</v>
      </c>
    </row>
    <row r="265" spans="1:7" s="1" customFormat="1" x14ac:dyDescent="0.25">
      <c r="A265" s="61" t="s">
        <v>70</v>
      </c>
      <c r="B265" s="62" t="s">
        <v>115</v>
      </c>
      <c r="C265" s="62" t="s">
        <v>64</v>
      </c>
      <c r="D265" s="41"/>
      <c r="E265" s="49">
        <v>0</v>
      </c>
      <c r="F265" s="42">
        <v>2800</v>
      </c>
      <c r="G265" s="43">
        <f>E265+F265</f>
        <v>2800</v>
      </c>
    </row>
    <row r="266" spans="1:7" x14ac:dyDescent="0.25">
      <c r="A266" s="253" t="s">
        <v>22</v>
      </c>
      <c r="B266" s="253"/>
      <c r="C266" s="253"/>
      <c r="D266" s="16"/>
      <c r="E266" s="17">
        <v>0</v>
      </c>
      <c r="F266" s="17">
        <f>SUM(F264:F265)</f>
        <v>4710</v>
      </c>
      <c r="G266" s="17">
        <f>SUM(G264:G265)</f>
        <v>4710</v>
      </c>
    </row>
    <row r="267" spans="1:7" x14ac:dyDescent="0.25">
      <c r="A267" s="15">
        <v>2</v>
      </c>
      <c r="B267" s="254" t="s">
        <v>81</v>
      </c>
      <c r="C267" s="254"/>
      <c r="D267" s="254"/>
      <c r="E267" s="254"/>
      <c r="F267" s="254"/>
      <c r="G267" s="254"/>
    </row>
    <row r="268" spans="1:7" x14ac:dyDescent="0.25">
      <c r="A268" s="253" t="s">
        <v>22</v>
      </c>
      <c r="B268" s="253"/>
      <c r="C268" s="253"/>
      <c r="D268" s="16"/>
      <c r="E268" s="19">
        <f>0</f>
        <v>0</v>
      </c>
      <c r="F268" s="19">
        <f>0</f>
        <v>0</v>
      </c>
      <c r="G268" s="20">
        <f>G267</f>
        <v>0</v>
      </c>
    </row>
    <row r="269" spans="1:7" x14ac:dyDescent="0.25">
      <c r="A269" s="15">
        <v>3</v>
      </c>
      <c r="B269" s="254" t="s">
        <v>82</v>
      </c>
      <c r="C269" s="254"/>
      <c r="D269" s="254"/>
      <c r="E269" s="254"/>
      <c r="F269" s="254"/>
      <c r="G269" s="254"/>
    </row>
    <row r="270" spans="1:7" x14ac:dyDescent="0.25">
      <c r="A270" s="50" t="s">
        <v>4</v>
      </c>
      <c r="B270" s="60" t="s">
        <v>112</v>
      </c>
      <c r="C270" s="60" t="s">
        <v>113</v>
      </c>
      <c r="D270" s="50"/>
      <c r="E270" s="53">
        <v>0</v>
      </c>
      <c r="F270" s="54">
        <v>20470</v>
      </c>
      <c r="G270" s="30">
        <f t="shared" ref="G270:G275" si="11">SUM(E270:F270)</f>
        <v>20470</v>
      </c>
    </row>
    <row r="271" spans="1:7" x14ac:dyDescent="0.25">
      <c r="A271" s="61" t="s">
        <v>5</v>
      </c>
      <c r="B271" s="34" t="s">
        <v>51</v>
      </c>
      <c r="C271" s="32" t="s">
        <v>86</v>
      </c>
      <c r="D271" s="31" t="s">
        <v>12</v>
      </c>
      <c r="E271" s="23">
        <v>0</v>
      </c>
      <c r="F271" s="24">
        <v>80899.48</v>
      </c>
      <c r="G271" s="25">
        <f t="shared" si="11"/>
        <v>80899.48</v>
      </c>
    </row>
    <row r="272" spans="1:7" x14ac:dyDescent="0.25">
      <c r="A272" s="256" t="s">
        <v>6</v>
      </c>
      <c r="B272" s="257" t="s">
        <v>10</v>
      </c>
      <c r="C272" s="26" t="s">
        <v>11</v>
      </c>
      <c r="D272" s="27" t="s">
        <v>20</v>
      </c>
      <c r="E272" s="28">
        <v>0</v>
      </c>
      <c r="F272" s="29">
        <v>0</v>
      </c>
      <c r="G272" s="30">
        <f t="shared" si="11"/>
        <v>0</v>
      </c>
    </row>
    <row r="273" spans="1:7" x14ac:dyDescent="0.25">
      <c r="A273" s="256"/>
      <c r="B273" s="257"/>
      <c r="C273" s="26" t="s">
        <v>86</v>
      </c>
      <c r="D273" s="27"/>
      <c r="E273" s="28">
        <v>0</v>
      </c>
      <c r="F273" s="29">
        <f>20544.47+669</f>
        <v>21213.47</v>
      </c>
      <c r="G273" s="30">
        <f t="shared" si="11"/>
        <v>21213.47</v>
      </c>
    </row>
    <row r="274" spans="1:7" x14ac:dyDescent="0.25">
      <c r="A274" s="61" t="s">
        <v>18</v>
      </c>
      <c r="B274" s="34" t="s">
        <v>13</v>
      </c>
      <c r="C274" s="32" t="s">
        <v>14</v>
      </c>
      <c r="D274" s="31" t="s">
        <v>21</v>
      </c>
      <c r="E274" s="23">
        <v>0</v>
      </c>
      <c r="F274" s="24">
        <f>11156.4+533.12</f>
        <v>11689.52</v>
      </c>
      <c r="G274" s="25">
        <f t="shared" si="11"/>
        <v>11689.52</v>
      </c>
    </row>
    <row r="275" spans="1:7" x14ac:dyDescent="0.25">
      <c r="A275" s="59" t="s">
        <v>23</v>
      </c>
      <c r="B275" s="33" t="s">
        <v>74</v>
      </c>
      <c r="C275" s="26" t="s">
        <v>31</v>
      </c>
      <c r="D275" s="27"/>
      <c r="E275" s="28">
        <v>0</v>
      </c>
      <c r="F275" s="29">
        <v>428241.07</v>
      </c>
      <c r="G275" s="30">
        <f t="shared" si="11"/>
        <v>428241.07</v>
      </c>
    </row>
    <row r="276" spans="1:7" x14ac:dyDescent="0.25">
      <c r="A276" s="61" t="s">
        <v>24</v>
      </c>
      <c r="B276" s="34" t="s">
        <v>78</v>
      </c>
      <c r="C276" s="62" t="s">
        <v>78</v>
      </c>
      <c r="D276" s="61"/>
      <c r="E276" s="23">
        <v>0</v>
      </c>
      <c r="F276" s="24">
        <v>2700</v>
      </c>
      <c r="G276" s="25">
        <f>SUM(E276:F276)</f>
        <v>2700</v>
      </c>
    </row>
    <row r="277" spans="1:7" x14ac:dyDescent="0.25">
      <c r="A277" s="253" t="s">
        <v>22</v>
      </c>
      <c r="B277" s="253"/>
      <c r="C277" s="253"/>
      <c r="D277" s="16"/>
      <c r="E277" s="17">
        <f>SUM(E270:E276)</f>
        <v>0</v>
      </c>
      <c r="F277" s="17">
        <f>SUM(F270:F276)</f>
        <v>565213.54</v>
      </c>
      <c r="G277" s="18">
        <f>SUM(G269:G275)</f>
        <v>562513.54</v>
      </c>
    </row>
    <row r="278" spans="1:7" x14ac:dyDescent="0.25">
      <c r="A278" s="15">
        <v>4</v>
      </c>
      <c r="B278" s="254" t="s">
        <v>83</v>
      </c>
      <c r="C278" s="254"/>
      <c r="D278" s="254"/>
      <c r="E278" s="254"/>
      <c r="F278" s="254"/>
      <c r="G278" s="254"/>
    </row>
    <row r="279" spans="1:7" x14ac:dyDescent="0.25">
      <c r="A279" s="253" t="s">
        <v>22</v>
      </c>
      <c r="B279" s="253"/>
      <c r="C279" s="253"/>
      <c r="D279" s="16"/>
      <c r="E279" s="17">
        <v>0</v>
      </c>
      <c r="F279" s="17">
        <v>0</v>
      </c>
      <c r="G279" s="18">
        <v>0</v>
      </c>
    </row>
    <row r="280" spans="1:7" x14ac:dyDescent="0.25">
      <c r="A280" s="15">
        <v>5</v>
      </c>
      <c r="B280" s="35" t="s">
        <v>84</v>
      </c>
      <c r="C280" s="35"/>
      <c r="D280" s="15" t="s">
        <v>26</v>
      </c>
      <c r="E280" s="36"/>
      <c r="F280" s="37"/>
      <c r="G280" s="38">
        <f>SUM(E280:F280)</f>
        <v>0</v>
      </c>
    </row>
    <row r="281" spans="1:7" x14ac:dyDescent="0.25">
      <c r="A281" s="31" t="s">
        <v>32</v>
      </c>
      <c r="B281" s="34" t="s">
        <v>3</v>
      </c>
      <c r="C281" s="32" t="s">
        <v>19</v>
      </c>
      <c r="D281" s="31"/>
      <c r="E281" s="23">
        <v>0</v>
      </c>
      <c r="F281" s="24">
        <v>28913.67</v>
      </c>
      <c r="G281" s="25">
        <f>SUM(E281:F281)</f>
        <v>28913.67</v>
      </c>
    </row>
    <row r="282" spans="1:7" x14ac:dyDescent="0.25">
      <c r="A282" s="253" t="s">
        <v>22</v>
      </c>
      <c r="B282" s="253"/>
      <c r="C282" s="253"/>
      <c r="D282" s="16"/>
      <c r="E282" s="17">
        <f>E281</f>
        <v>0</v>
      </c>
      <c r="F282" s="17">
        <f>F281</f>
        <v>28913.67</v>
      </c>
      <c r="G282" s="18">
        <f>E282+F282</f>
        <v>28913.67</v>
      </c>
    </row>
    <row r="283" spans="1:7" x14ac:dyDescent="0.25">
      <c r="A283" s="255" t="s">
        <v>1</v>
      </c>
      <c r="B283" s="255"/>
      <c r="C283" s="255"/>
      <c r="D283" s="255"/>
      <c r="E283" s="39">
        <f>E266+E268+E277+E282</f>
        <v>0</v>
      </c>
      <c r="F283" s="40">
        <f>F277+F282+F268+F266+F279</f>
        <v>598837.21000000008</v>
      </c>
      <c r="G283" s="39">
        <f>E283+F283</f>
        <v>598837.21000000008</v>
      </c>
    </row>
  </sheetData>
  <mergeCells count="165">
    <mergeCell ref="A2:G2"/>
    <mergeCell ref="A3:G3"/>
    <mergeCell ref="B4:G4"/>
    <mergeCell ref="A5:G5"/>
    <mergeCell ref="A7:G7"/>
    <mergeCell ref="B9:G9"/>
    <mergeCell ref="B25:G25"/>
    <mergeCell ref="A17:A18"/>
    <mergeCell ref="B17:B18"/>
    <mergeCell ref="A22:C22"/>
    <mergeCell ref="B23:G23"/>
    <mergeCell ref="A24:F24"/>
    <mergeCell ref="A27:C27"/>
    <mergeCell ref="A11:C11"/>
    <mergeCell ref="B12:G12"/>
    <mergeCell ref="A13:C13"/>
    <mergeCell ref="B14:G14"/>
    <mergeCell ref="B37:G37"/>
    <mergeCell ref="A44:C44"/>
    <mergeCell ref="B45:G45"/>
    <mergeCell ref="A46:F46"/>
    <mergeCell ref="A28:D28"/>
    <mergeCell ref="A31:G31"/>
    <mergeCell ref="B33:G33"/>
    <mergeCell ref="A34:C34"/>
    <mergeCell ref="B35:G35"/>
    <mergeCell ref="A36:C36"/>
    <mergeCell ref="B58:G58"/>
    <mergeCell ref="A59:C59"/>
    <mergeCell ref="B60:G60"/>
    <mergeCell ref="A63:A64"/>
    <mergeCell ref="B63:B64"/>
    <mergeCell ref="A68:C68"/>
    <mergeCell ref="A49:C49"/>
    <mergeCell ref="A50:D50"/>
    <mergeCell ref="A51:G51"/>
    <mergeCell ref="A53:G53"/>
    <mergeCell ref="B55:G55"/>
    <mergeCell ref="A57:C57"/>
    <mergeCell ref="B79:G79"/>
    <mergeCell ref="A81:C81"/>
    <mergeCell ref="B82:G82"/>
    <mergeCell ref="A83:C83"/>
    <mergeCell ref="B84:G84"/>
    <mergeCell ref="B69:G69"/>
    <mergeCell ref="A70:F70"/>
    <mergeCell ref="A73:C73"/>
    <mergeCell ref="A74:D74"/>
    <mergeCell ref="A75:G75"/>
    <mergeCell ref="A77:G77"/>
    <mergeCell ref="A101:G101"/>
    <mergeCell ref="B103:G103"/>
    <mergeCell ref="A106:C106"/>
    <mergeCell ref="B107:G107"/>
    <mergeCell ref="A108:C108"/>
    <mergeCell ref="B109:G109"/>
    <mergeCell ref="A92:C92"/>
    <mergeCell ref="B93:G93"/>
    <mergeCell ref="A94:F94"/>
    <mergeCell ref="A97:C97"/>
    <mergeCell ref="A98:D98"/>
    <mergeCell ref="A99:G99"/>
    <mergeCell ref="A123:D123"/>
    <mergeCell ref="A124:G124"/>
    <mergeCell ref="A126:G126"/>
    <mergeCell ref="B128:G128"/>
    <mergeCell ref="A129:C129"/>
    <mergeCell ref="B130:G130"/>
    <mergeCell ref="A112:A113"/>
    <mergeCell ref="B112:B113"/>
    <mergeCell ref="A117:C117"/>
    <mergeCell ref="B118:G118"/>
    <mergeCell ref="A119:F119"/>
    <mergeCell ref="A122:C122"/>
    <mergeCell ref="A142:F142"/>
    <mergeCell ref="A145:C145"/>
    <mergeCell ref="A146:D146"/>
    <mergeCell ref="A147:G147"/>
    <mergeCell ref="A149:G149"/>
    <mergeCell ref="B151:G151"/>
    <mergeCell ref="A131:C131"/>
    <mergeCell ref="B132:G132"/>
    <mergeCell ref="A135:A136"/>
    <mergeCell ref="B135:B136"/>
    <mergeCell ref="A140:C140"/>
    <mergeCell ref="B141:G141"/>
    <mergeCell ref="A162:C162"/>
    <mergeCell ref="B163:G163"/>
    <mergeCell ref="A164:F164"/>
    <mergeCell ref="A167:C167"/>
    <mergeCell ref="A168:D168"/>
    <mergeCell ref="A169:G169"/>
    <mergeCell ref="A152:C152"/>
    <mergeCell ref="B153:G153"/>
    <mergeCell ref="A154:C154"/>
    <mergeCell ref="B155:G155"/>
    <mergeCell ref="A157:A158"/>
    <mergeCell ref="B157:B158"/>
    <mergeCell ref="A182:C182"/>
    <mergeCell ref="B183:G183"/>
    <mergeCell ref="A184:F184"/>
    <mergeCell ref="A187:C187"/>
    <mergeCell ref="A171:G171"/>
    <mergeCell ref="B173:G173"/>
    <mergeCell ref="A174:C174"/>
    <mergeCell ref="B175:G175"/>
    <mergeCell ref="A176:C176"/>
    <mergeCell ref="B177:G177"/>
    <mergeCell ref="A196:C196"/>
    <mergeCell ref="B197:G197"/>
    <mergeCell ref="A200:A201"/>
    <mergeCell ref="B200:B201"/>
    <mergeCell ref="A205:C205"/>
    <mergeCell ref="B206:G206"/>
    <mergeCell ref="A188:D188"/>
    <mergeCell ref="A189:G189"/>
    <mergeCell ref="A191:G191"/>
    <mergeCell ref="B193:G193"/>
    <mergeCell ref="A194:C194"/>
    <mergeCell ref="B195:G195"/>
    <mergeCell ref="A218:C218"/>
    <mergeCell ref="B219:G219"/>
    <mergeCell ref="A220:C220"/>
    <mergeCell ref="B221:G221"/>
    <mergeCell ref="A224:A225"/>
    <mergeCell ref="B224:B225"/>
    <mergeCell ref="A207:F207"/>
    <mergeCell ref="A210:C210"/>
    <mergeCell ref="A211:D211"/>
    <mergeCell ref="A212:G212"/>
    <mergeCell ref="A214:G214"/>
    <mergeCell ref="B216:G216"/>
    <mergeCell ref="A238:G238"/>
    <mergeCell ref="B240:G240"/>
    <mergeCell ref="A241:C241"/>
    <mergeCell ref="B242:G242"/>
    <mergeCell ref="A243:C243"/>
    <mergeCell ref="B244:G244"/>
    <mergeCell ref="A229:C229"/>
    <mergeCell ref="B230:G230"/>
    <mergeCell ref="A231:C231"/>
    <mergeCell ref="A234:C234"/>
    <mergeCell ref="A235:D235"/>
    <mergeCell ref="A236:G236"/>
    <mergeCell ref="A258:D258"/>
    <mergeCell ref="A259:G259"/>
    <mergeCell ref="A261:G261"/>
    <mergeCell ref="B263:G263"/>
    <mergeCell ref="A266:C266"/>
    <mergeCell ref="B267:G267"/>
    <mergeCell ref="A247:A248"/>
    <mergeCell ref="B247:B248"/>
    <mergeCell ref="A252:C252"/>
    <mergeCell ref="B253:G253"/>
    <mergeCell ref="A254:C254"/>
    <mergeCell ref="A257:C257"/>
    <mergeCell ref="A279:C279"/>
    <mergeCell ref="A282:C282"/>
    <mergeCell ref="A283:D283"/>
    <mergeCell ref="A268:C268"/>
    <mergeCell ref="B269:G269"/>
    <mergeCell ref="A272:A273"/>
    <mergeCell ref="B272:B273"/>
    <mergeCell ref="A277:C277"/>
    <mergeCell ref="B278:G27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0"/>
  <sheetViews>
    <sheetView topLeftCell="A256" workbookViewId="0">
      <selection activeCell="B244" sqref="B244:C244"/>
    </sheetView>
  </sheetViews>
  <sheetFormatPr defaultRowHeight="15" x14ac:dyDescent="0.25"/>
  <cols>
    <col min="1" max="1" width="11" style="1" customWidth="1"/>
    <col min="2" max="2" width="58.140625" style="1" bestFit="1" customWidth="1"/>
    <col min="3" max="3" width="44" style="1" bestFit="1" customWidth="1"/>
    <col min="4" max="4" width="11.5703125" style="1" hidden="1" customWidth="1"/>
    <col min="5" max="5" width="14.140625" style="1" bestFit="1" customWidth="1"/>
    <col min="6" max="7" width="15" style="1" bestFit="1" customWidth="1"/>
  </cols>
  <sheetData>
    <row r="1" spans="1:7" x14ac:dyDescent="0.25">
      <c r="C1" s="2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116</v>
      </c>
      <c r="B5" s="265"/>
      <c r="C5" s="265"/>
      <c r="D5" s="265"/>
      <c r="E5" s="265"/>
      <c r="F5" s="265"/>
      <c r="G5" s="265"/>
    </row>
    <row r="6" spans="1:7" ht="15.75" x14ac:dyDescent="0.25">
      <c r="A6" s="68"/>
      <c r="B6" s="68"/>
      <c r="C6" s="68"/>
      <c r="D6" s="68"/>
      <c r="E6" s="68"/>
      <c r="F6" s="68"/>
      <c r="G6" s="68"/>
    </row>
    <row r="7" spans="1:7" x14ac:dyDescent="0.25">
      <c r="A7" s="258" t="s">
        <v>120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117</v>
      </c>
      <c r="F8" s="14" t="s">
        <v>118</v>
      </c>
      <c r="G8" s="14" t="s">
        <v>119</v>
      </c>
    </row>
    <row r="9" spans="1:7" x14ac:dyDescent="0.25">
      <c r="A9" s="15">
        <v>1</v>
      </c>
      <c r="B9" s="254" t="s">
        <v>80</v>
      </c>
      <c r="C9" s="254"/>
      <c r="D9" s="254"/>
      <c r="E9" s="254"/>
      <c r="F9" s="254"/>
      <c r="G9" s="254"/>
    </row>
    <row r="10" spans="1:7" x14ac:dyDescent="0.25">
      <c r="A10" s="253" t="s">
        <v>22</v>
      </c>
      <c r="B10" s="253"/>
      <c r="C10" s="253"/>
      <c r="D10" s="16"/>
      <c r="E10" s="17">
        <v>0</v>
      </c>
      <c r="F10" s="17">
        <v>0</v>
      </c>
      <c r="G10" s="18">
        <v>0</v>
      </c>
    </row>
    <row r="11" spans="1:7" x14ac:dyDescent="0.25">
      <c r="A11" s="15">
        <v>2</v>
      </c>
      <c r="B11" s="254" t="s">
        <v>81</v>
      </c>
      <c r="C11" s="254"/>
      <c r="D11" s="254"/>
      <c r="E11" s="254"/>
      <c r="F11" s="254"/>
      <c r="G11" s="254"/>
    </row>
    <row r="12" spans="1:7" x14ac:dyDescent="0.25">
      <c r="A12" s="81" t="s">
        <v>22</v>
      </c>
      <c r="B12" s="82"/>
      <c r="C12" s="83"/>
      <c r="D12" s="16"/>
      <c r="E12" s="19">
        <f>0</f>
        <v>0</v>
      </c>
      <c r="F12" s="19">
        <f>0</f>
        <v>0</v>
      </c>
      <c r="G12" s="20">
        <f>G11</f>
        <v>0</v>
      </c>
    </row>
    <row r="13" spans="1:7" x14ac:dyDescent="0.25">
      <c r="A13" s="15">
        <v>3</v>
      </c>
      <c r="B13" s="254" t="s">
        <v>82</v>
      </c>
      <c r="C13" s="254"/>
      <c r="D13" s="254"/>
      <c r="E13" s="254"/>
      <c r="F13" s="254"/>
      <c r="G13" s="254"/>
    </row>
    <row r="14" spans="1:7" x14ac:dyDescent="0.25">
      <c r="A14" s="67" t="s">
        <v>4</v>
      </c>
      <c r="B14" s="34" t="s">
        <v>51</v>
      </c>
      <c r="C14" s="66" t="s">
        <v>86</v>
      </c>
      <c r="D14" s="67" t="s">
        <v>17</v>
      </c>
      <c r="E14" s="23">
        <v>80899.47</v>
      </c>
      <c r="F14" s="24">
        <v>0</v>
      </c>
      <c r="G14" s="25">
        <f>SUM(E14:F14)</f>
        <v>80899.47</v>
      </c>
    </row>
    <row r="15" spans="1:7" x14ac:dyDescent="0.25">
      <c r="A15" s="64" t="s">
        <v>5</v>
      </c>
      <c r="B15" s="78" t="s">
        <v>112</v>
      </c>
      <c r="C15" s="78" t="s">
        <v>113</v>
      </c>
      <c r="D15" s="64"/>
      <c r="E15" s="28">
        <v>20470</v>
      </c>
      <c r="F15" s="29">
        <v>0</v>
      </c>
      <c r="G15" s="30">
        <f t="shared" ref="G15:G17" si="0">SUM(E15:F15)</f>
        <v>20470</v>
      </c>
    </row>
    <row r="16" spans="1:7" x14ac:dyDescent="0.25">
      <c r="A16" s="261" t="s">
        <v>6</v>
      </c>
      <c r="B16" s="260" t="s">
        <v>10</v>
      </c>
      <c r="C16" s="66" t="s">
        <v>11</v>
      </c>
      <c r="D16" s="67" t="s">
        <v>20</v>
      </c>
      <c r="E16" s="23">
        <v>0</v>
      </c>
      <c r="F16" s="24">
        <v>0</v>
      </c>
      <c r="G16" s="25">
        <f t="shared" si="0"/>
        <v>0</v>
      </c>
    </row>
    <row r="17" spans="1:7" x14ac:dyDescent="0.25">
      <c r="A17" s="261"/>
      <c r="B17" s="260"/>
      <c r="C17" s="66" t="s">
        <v>86</v>
      </c>
      <c r="D17" s="67"/>
      <c r="E17" s="23">
        <v>20528.59</v>
      </c>
      <c r="F17" s="24">
        <v>0</v>
      </c>
      <c r="G17" s="25">
        <f t="shared" si="0"/>
        <v>20528.59</v>
      </c>
    </row>
    <row r="18" spans="1:7" s="7" customFormat="1" x14ac:dyDescent="0.25">
      <c r="A18" s="77" t="s">
        <v>18</v>
      </c>
      <c r="B18" s="78" t="s">
        <v>15</v>
      </c>
      <c r="C18" s="78" t="s">
        <v>16</v>
      </c>
      <c r="D18" s="77"/>
      <c r="E18" s="28">
        <v>14688</v>
      </c>
      <c r="F18" s="29">
        <v>0</v>
      </c>
      <c r="G18" s="30">
        <f>SUM(E18:F18)</f>
        <v>14688</v>
      </c>
    </row>
    <row r="19" spans="1:7" x14ac:dyDescent="0.25">
      <c r="A19" s="67" t="s">
        <v>23</v>
      </c>
      <c r="B19" s="34" t="s">
        <v>74</v>
      </c>
      <c r="C19" s="66" t="s">
        <v>74</v>
      </c>
      <c r="D19" s="67"/>
      <c r="E19" s="23">
        <v>27119.03</v>
      </c>
      <c r="F19" s="24">
        <v>270446.64</v>
      </c>
      <c r="G19" s="25">
        <f>SUM(E19:F19)</f>
        <v>297565.67000000004</v>
      </c>
    </row>
    <row r="20" spans="1:7" x14ac:dyDescent="0.25">
      <c r="A20" s="50" t="s">
        <v>24</v>
      </c>
      <c r="B20" s="51" t="s">
        <v>13</v>
      </c>
      <c r="C20" s="52" t="s">
        <v>14</v>
      </c>
      <c r="D20" s="50"/>
      <c r="E20" s="53">
        <v>0</v>
      </c>
      <c r="F20" s="54">
        <v>8590.6</v>
      </c>
      <c r="G20" s="69">
        <f>SUM(E20:F20)</f>
        <v>8590.6</v>
      </c>
    </row>
    <row r="21" spans="1:7" s="84" customFormat="1" x14ac:dyDescent="0.25">
      <c r="A21" s="80" t="s">
        <v>25</v>
      </c>
      <c r="B21" s="34" t="s">
        <v>104</v>
      </c>
      <c r="C21" s="79" t="s">
        <v>104</v>
      </c>
      <c r="D21" s="80"/>
      <c r="E21" s="23">
        <v>2700</v>
      </c>
      <c r="F21" s="24">
        <v>0</v>
      </c>
      <c r="G21" s="25">
        <f>SUM(E21:F21)</f>
        <v>2700</v>
      </c>
    </row>
    <row r="22" spans="1:7" x14ac:dyDescent="0.25">
      <c r="A22" s="253" t="s">
        <v>22</v>
      </c>
      <c r="B22" s="253"/>
      <c r="C22" s="253"/>
      <c r="D22" s="16"/>
      <c r="E22" s="17">
        <f>SUM(E14:E21)</f>
        <v>166405.09</v>
      </c>
      <c r="F22" s="17">
        <f>SUM(F14:F21)</f>
        <v>279037.24</v>
      </c>
      <c r="G22" s="18">
        <f>SUM(G13:G21)</f>
        <v>445442.33</v>
      </c>
    </row>
    <row r="23" spans="1:7" x14ac:dyDescent="0.25">
      <c r="A23" s="15">
        <v>4</v>
      </c>
      <c r="B23" s="254" t="s">
        <v>83</v>
      </c>
      <c r="C23" s="254"/>
      <c r="D23" s="254"/>
      <c r="E23" s="254"/>
      <c r="F23" s="254"/>
      <c r="G23" s="254"/>
    </row>
    <row r="24" spans="1:7" x14ac:dyDescent="0.25">
      <c r="A24" s="253" t="s">
        <v>22</v>
      </c>
      <c r="B24" s="253"/>
      <c r="C24" s="253"/>
      <c r="D24" s="16"/>
      <c r="E24" s="17">
        <v>0</v>
      </c>
      <c r="F24" s="17">
        <v>0</v>
      </c>
      <c r="G24" s="18">
        <v>0</v>
      </c>
    </row>
    <row r="25" spans="1:7" x14ac:dyDescent="0.25">
      <c r="A25" s="15">
        <v>5</v>
      </c>
      <c r="B25" s="267" t="s">
        <v>84</v>
      </c>
      <c r="C25" s="268"/>
      <c r="D25" s="268"/>
      <c r="E25" s="268"/>
      <c r="F25" s="268"/>
      <c r="G25" s="269"/>
    </row>
    <row r="26" spans="1:7" x14ac:dyDescent="0.25">
      <c r="A26" s="67" t="s">
        <v>32</v>
      </c>
      <c r="B26" s="34" t="s">
        <v>3</v>
      </c>
      <c r="C26" s="66" t="s">
        <v>19</v>
      </c>
      <c r="D26" s="67"/>
      <c r="E26" s="23">
        <v>29925.13</v>
      </c>
      <c r="F26" s="24">
        <v>0</v>
      </c>
      <c r="G26" s="25">
        <f>E26+F26</f>
        <v>29925.13</v>
      </c>
    </row>
    <row r="27" spans="1:7" x14ac:dyDescent="0.25">
      <c r="A27" s="253" t="s">
        <v>22</v>
      </c>
      <c r="B27" s="253"/>
      <c r="C27" s="253"/>
      <c r="D27" s="16"/>
      <c r="E27" s="17">
        <f>E26</f>
        <v>29925.13</v>
      </c>
      <c r="F27" s="17">
        <f>F26</f>
        <v>0</v>
      </c>
      <c r="G27" s="18">
        <f>E27+F27</f>
        <v>29925.13</v>
      </c>
    </row>
    <row r="28" spans="1:7" x14ac:dyDescent="0.25">
      <c r="A28" s="255" t="s">
        <v>1</v>
      </c>
      <c r="B28" s="255"/>
      <c r="C28" s="255"/>
      <c r="D28" s="255"/>
      <c r="E28" s="39">
        <f>E10+E12+E22+E27</f>
        <v>196330.22</v>
      </c>
      <c r="F28" s="40">
        <f>F22+F27</f>
        <v>279037.24</v>
      </c>
      <c r="G28" s="39">
        <f>E28+F28</f>
        <v>475367.45999999996</v>
      </c>
    </row>
    <row r="29" spans="1:7" x14ac:dyDescent="0.25">
      <c r="A29" s="10" t="s">
        <v>33</v>
      </c>
      <c r="B29" s="10"/>
      <c r="C29" s="11"/>
      <c r="D29" s="12"/>
      <c r="E29" s="12"/>
      <c r="F29" s="12"/>
      <c r="G29" s="12"/>
    </row>
    <row r="30" spans="1:7" x14ac:dyDescent="0.25">
      <c r="C30" s="2"/>
    </row>
    <row r="31" spans="1:7" x14ac:dyDescent="0.25">
      <c r="A31" s="262" t="s">
        <v>121</v>
      </c>
      <c r="B31" s="263"/>
      <c r="C31" s="263"/>
      <c r="D31" s="263"/>
      <c r="E31" s="263"/>
      <c r="F31" s="263"/>
      <c r="G31" s="264"/>
    </row>
    <row r="32" spans="1:7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117</v>
      </c>
      <c r="F32" s="14" t="s">
        <v>118</v>
      </c>
      <c r="G32" s="14" t="s">
        <v>119</v>
      </c>
    </row>
    <row r="33" spans="1:7" x14ac:dyDescent="0.25">
      <c r="A33" s="15">
        <v>1</v>
      </c>
      <c r="B33" s="254" t="s">
        <v>80</v>
      </c>
      <c r="C33" s="254"/>
      <c r="D33" s="254"/>
      <c r="E33" s="254"/>
      <c r="F33" s="254"/>
      <c r="G33" s="254"/>
    </row>
    <row r="34" spans="1:7" x14ac:dyDescent="0.25">
      <c r="A34" s="253" t="s">
        <v>22</v>
      </c>
      <c r="B34" s="253"/>
      <c r="C34" s="253"/>
      <c r="D34" s="16"/>
      <c r="E34" s="17">
        <f>0</f>
        <v>0</v>
      </c>
      <c r="F34" s="17">
        <v>0</v>
      </c>
      <c r="G34" s="18">
        <v>0</v>
      </c>
    </row>
    <row r="35" spans="1:7" x14ac:dyDescent="0.25">
      <c r="A35" s="15">
        <v>2</v>
      </c>
      <c r="B35" s="254" t="s">
        <v>81</v>
      </c>
      <c r="C35" s="254"/>
      <c r="D35" s="254"/>
      <c r="E35" s="254"/>
      <c r="F35" s="254"/>
      <c r="G35" s="254"/>
    </row>
    <row r="36" spans="1:7" x14ac:dyDescent="0.25">
      <c r="A36" s="253" t="s">
        <v>22</v>
      </c>
      <c r="B36" s="253"/>
      <c r="C36" s="253"/>
      <c r="D36" s="16"/>
      <c r="E36" s="19">
        <f>0</f>
        <v>0</v>
      </c>
      <c r="F36" s="19">
        <f>0</f>
        <v>0</v>
      </c>
      <c r="G36" s="20">
        <f>G35</f>
        <v>0</v>
      </c>
    </row>
    <row r="37" spans="1:7" x14ac:dyDescent="0.25">
      <c r="A37" s="15">
        <v>3</v>
      </c>
      <c r="B37" s="254" t="s">
        <v>82</v>
      </c>
      <c r="C37" s="254"/>
      <c r="D37" s="254"/>
      <c r="E37" s="254"/>
      <c r="F37" s="254"/>
      <c r="G37" s="254"/>
    </row>
    <row r="38" spans="1:7" x14ac:dyDescent="0.25">
      <c r="A38" s="67" t="s">
        <v>4</v>
      </c>
      <c r="B38" s="34" t="s">
        <v>13</v>
      </c>
      <c r="C38" s="66" t="s">
        <v>14</v>
      </c>
      <c r="D38" s="67" t="s">
        <v>21</v>
      </c>
      <c r="E38" s="23">
        <v>0</v>
      </c>
      <c r="F38" s="24">
        <v>16331.1</v>
      </c>
      <c r="G38" s="25">
        <f>SUM(E38:F38)</f>
        <v>16331.1</v>
      </c>
    </row>
    <row r="39" spans="1:7" x14ac:dyDescent="0.25">
      <c r="A39" s="44" t="s">
        <v>5</v>
      </c>
      <c r="B39" s="45" t="s">
        <v>0</v>
      </c>
      <c r="C39" s="46" t="s">
        <v>31</v>
      </c>
      <c r="D39" s="44"/>
      <c r="E39" s="23">
        <v>0</v>
      </c>
      <c r="F39" s="24">
        <v>314725.42</v>
      </c>
      <c r="G39" s="25">
        <f t="shared" ref="G39:G43" si="1">SUM(E39:F39)</f>
        <v>314725.42</v>
      </c>
    </row>
    <row r="40" spans="1:7" x14ac:dyDescent="0.25">
      <c r="A40" s="70" t="s">
        <v>6</v>
      </c>
      <c r="B40" s="34" t="s">
        <v>51</v>
      </c>
      <c r="C40" s="79" t="s">
        <v>86</v>
      </c>
      <c r="D40" s="70"/>
      <c r="E40" s="23">
        <v>0</v>
      </c>
      <c r="F40" s="24">
        <v>80899.48</v>
      </c>
      <c r="G40" s="25">
        <f t="shared" si="1"/>
        <v>80899.48</v>
      </c>
    </row>
    <row r="41" spans="1:7" x14ac:dyDescent="0.25">
      <c r="A41" s="270" t="s">
        <v>18</v>
      </c>
      <c r="B41" s="272" t="s">
        <v>10</v>
      </c>
      <c r="C41" s="78" t="s">
        <v>86</v>
      </c>
      <c r="D41" s="44"/>
      <c r="E41" s="28">
        <v>0</v>
      </c>
      <c r="F41" s="29">
        <v>21213.47</v>
      </c>
      <c r="G41" s="30">
        <f t="shared" si="1"/>
        <v>21213.47</v>
      </c>
    </row>
    <row r="42" spans="1:7" s="1" customFormat="1" x14ac:dyDescent="0.25">
      <c r="A42" s="271"/>
      <c r="B42" s="273"/>
      <c r="C42" s="78" t="s">
        <v>11</v>
      </c>
      <c r="D42" s="44"/>
      <c r="E42" s="28">
        <v>0</v>
      </c>
      <c r="F42" s="29">
        <v>57523.35</v>
      </c>
      <c r="G42" s="30">
        <f t="shared" si="1"/>
        <v>57523.35</v>
      </c>
    </row>
    <row r="43" spans="1:7" x14ac:dyDescent="0.25">
      <c r="A43" s="70" t="s">
        <v>23</v>
      </c>
      <c r="B43" s="79" t="s">
        <v>112</v>
      </c>
      <c r="C43" s="79" t="s">
        <v>113</v>
      </c>
      <c r="D43" s="70"/>
      <c r="E43" s="23">
        <v>0</v>
      </c>
      <c r="F43" s="24">
        <v>20470</v>
      </c>
      <c r="G43" s="25">
        <f t="shared" si="1"/>
        <v>20470</v>
      </c>
    </row>
    <row r="44" spans="1:7" x14ac:dyDescent="0.25">
      <c r="A44" s="253" t="s">
        <v>22</v>
      </c>
      <c r="B44" s="253"/>
      <c r="C44" s="253"/>
      <c r="D44" s="16"/>
      <c r="E44" s="17">
        <f>SUM(E38:E43)</f>
        <v>0</v>
      </c>
      <c r="F44" s="17">
        <f>SUM(F38:F43)</f>
        <v>511162.81999999995</v>
      </c>
      <c r="G44" s="18">
        <f>SUM(G38:G43)</f>
        <v>511162.81999999995</v>
      </c>
    </row>
    <row r="45" spans="1:7" x14ac:dyDescent="0.25">
      <c r="A45" s="15">
        <v>4</v>
      </c>
      <c r="B45" s="254" t="s">
        <v>83</v>
      </c>
      <c r="C45" s="254"/>
      <c r="D45" s="254"/>
      <c r="E45" s="254"/>
      <c r="F45" s="254"/>
      <c r="G45" s="254"/>
    </row>
    <row r="46" spans="1:7" x14ac:dyDescent="0.25">
      <c r="A46" s="253" t="s">
        <v>22</v>
      </c>
      <c r="B46" s="253"/>
      <c r="C46" s="253"/>
      <c r="D46" s="16"/>
      <c r="E46" s="17">
        <v>0</v>
      </c>
      <c r="F46" s="17">
        <v>0</v>
      </c>
      <c r="G46" s="18">
        <v>0</v>
      </c>
    </row>
    <row r="47" spans="1:7" x14ac:dyDescent="0.25">
      <c r="A47" s="15">
        <v>5</v>
      </c>
      <c r="B47" s="63" t="s">
        <v>84</v>
      </c>
      <c r="C47" s="63"/>
      <c r="D47" s="15" t="s">
        <v>26</v>
      </c>
      <c r="E47" s="36"/>
      <c r="F47" s="37"/>
      <c r="G47" s="38">
        <f>SUM(E47:F47)</f>
        <v>0</v>
      </c>
    </row>
    <row r="48" spans="1:7" x14ac:dyDescent="0.25">
      <c r="A48" s="67" t="s">
        <v>32</v>
      </c>
      <c r="B48" s="34" t="s">
        <v>3</v>
      </c>
      <c r="C48" s="66" t="s">
        <v>19</v>
      </c>
      <c r="D48" s="67"/>
      <c r="E48" s="23">
        <v>0</v>
      </c>
      <c r="F48" s="23">
        <v>23865.5</v>
      </c>
      <c r="G48" s="23">
        <v>0</v>
      </c>
    </row>
    <row r="49" spans="1:7" x14ac:dyDescent="0.25">
      <c r="A49" s="253" t="s">
        <v>22</v>
      </c>
      <c r="B49" s="253"/>
      <c r="C49" s="253"/>
      <c r="D49" s="16"/>
      <c r="E49" s="17">
        <f>E48</f>
        <v>0</v>
      </c>
      <c r="F49" s="17">
        <f>F48</f>
        <v>23865.5</v>
      </c>
      <c r="G49" s="18">
        <f>E49+F49</f>
        <v>23865.5</v>
      </c>
    </row>
    <row r="50" spans="1:7" x14ac:dyDescent="0.25">
      <c r="A50" s="255" t="s">
        <v>1</v>
      </c>
      <c r="B50" s="255"/>
      <c r="C50" s="255"/>
      <c r="D50" s="255"/>
      <c r="E50" s="39">
        <f>E34+E36+E44+E49</f>
        <v>0</v>
      </c>
      <c r="F50" s="40">
        <f>F44+F49+F36+F34</f>
        <v>535028.31999999995</v>
      </c>
      <c r="G50" s="39">
        <f>E50+F50</f>
        <v>535028.31999999995</v>
      </c>
    </row>
    <row r="51" spans="1:7" x14ac:dyDescent="0.25">
      <c r="A51" s="266" t="s">
        <v>33</v>
      </c>
      <c r="B51" s="266"/>
      <c r="C51" s="266"/>
      <c r="D51" s="266"/>
      <c r="E51" s="266"/>
      <c r="F51" s="266"/>
      <c r="G51" s="266"/>
    </row>
    <row r="52" spans="1:7" x14ac:dyDescent="0.25">
      <c r="A52" s="12"/>
      <c r="B52" s="12"/>
      <c r="C52" s="11"/>
      <c r="D52" s="12"/>
      <c r="E52" s="12"/>
      <c r="F52" s="12"/>
      <c r="G52" s="12"/>
    </row>
    <row r="53" spans="1:7" x14ac:dyDescent="0.25">
      <c r="A53" s="258" t="s">
        <v>122</v>
      </c>
      <c r="B53" s="258"/>
      <c r="C53" s="258"/>
      <c r="D53" s="258"/>
      <c r="E53" s="258"/>
      <c r="F53" s="258"/>
      <c r="G53" s="258"/>
    </row>
    <row r="54" spans="1:7" ht="38.25" x14ac:dyDescent="0.25">
      <c r="A54" s="13" t="s">
        <v>27</v>
      </c>
      <c r="B54" s="13" t="s">
        <v>28</v>
      </c>
      <c r="C54" s="13" t="s">
        <v>29</v>
      </c>
      <c r="D54" s="13" t="s">
        <v>2</v>
      </c>
      <c r="E54" s="14" t="s">
        <v>117</v>
      </c>
      <c r="F54" s="14" t="s">
        <v>118</v>
      </c>
      <c r="G54" s="14" t="s">
        <v>119</v>
      </c>
    </row>
    <row r="55" spans="1:7" x14ac:dyDescent="0.25">
      <c r="A55" s="15">
        <v>1</v>
      </c>
      <c r="B55" s="254" t="s">
        <v>80</v>
      </c>
      <c r="C55" s="254"/>
      <c r="D55" s="254"/>
      <c r="E55" s="254"/>
      <c r="F55" s="254"/>
      <c r="G55" s="254"/>
    </row>
    <row r="56" spans="1:7" x14ac:dyDescent="0.25">
      <c r="A56" s="253" t="s">
        <v>22</v>
      </c>
      <c r="B56" s="253"/>
      <c r="C56" s="253"/>
      <c r="D56" s="16"/>
      <c r="E56" s="17">
        <v>0</v>
      </c>
      <c r="F56" s="17">
        <v>0</v>
      </c>
      <c r="G56" s="18">
        <v>0</v>
      </c>
    </row>
    <row r="57" spans="1:7" x14ac:dyDescent="0.25">
      <c r="A57" s="15">
        <v>2</v>
      </c>
      <c r="B57" s="254" t="s">
        <v>81</v>
      </c>
      <c r="C57" s="254"/>
      <c r="D57" s="254"/>
      <c r="E57" s="254"/>
      <c r="F57" s="254"/>
      <c r="G57" s="254"/>
    </row>
    <row r="58" spans="1:7" x14ac:dyDescent="0.25">
      <c r="A58" s="253" t="s">
        <v>22</v>
      </c>
      <c r="B58" s="253"/>
      <c r="C58" s="253"/>
      <c r="D58" s="16"/>
      <c r="E58" s="19">
        <f>0</f>
        <v>0</v>
      </c>
      <c r="F58" s="19">
        <f>0</f>
        <v>0</v>
      </c>
      <c r="G58" s="20">
        <f>G57</f>
        <v>0</v>
      </c>
    </row>
    <row r="59" spans="1:7" x14ac:dyDescent="0.25">
      <c r="A59" s="15">
        <v>3</v>
      </c>
      <c r="B59" s="254" t="s">
        <v>82</v>
      </c>
      <c r="C59" s="254"/>
      <c r="D59" s="254"/>
      <c r="E59" s="254"/>
      <c r="F59" s="254"/>
      <c r="G59" s="254"/>
    </row>
    <row r="60" spans="1:7" x14ac:dyDescent="0.25">
      <c r="A60" s="80" t="s">
        <v>4</v>
      </c>
      <c r="B60" s="79" t="s">
        <v>112</v>
      </c>
      <c r="C60" s="79" t="s">
        <v>113</v>
      </c>
      <c r="D60" s="80" t="s">
        <v>17</v>
      </c>
      <c r="E60" s="23">
        <v>0</v>
      </c>
      <c r="F60" s="23">
        <v>20470</v>
      </c>
      <c r="G60" s="23">
        <f>SUM(E60:F60)</f>
        <v>20470</v>
      </c>
    </row>
    <row r="61" spans="1:7" x14ac:dyDescent="0.25">
      <c r="A61" s="64" t="s">
        <v>5</v>
      </c>
      <c r="B61" s="33" t="s">
        <v>51</v>
      </c>
      <c r="C61" s="65" t="s">
        <v>86</v>
      </c>
      <c r="D61" s="64"/>
      <c r="E61" s="23">
        <v>0</v>
      </c>
      <c r="F61" s="23">
        <v>80899.48</v>
      </c>
      <c r="G61" s="23">
        <f t="shared" ref="G61:G66" si="2">SUM(E61:F61)</f>
        <v>80899.48</v>
      </c>
    </row>
    <row r="62" spans="1:7" x14ac:dyDescent="0.25">
      <c r="A62" s="261" t="s">
        <v>6</v>
      </c>
      <c r="B62" s="260" t="s">
        <v>10</v>
      </c>
      <c r="C62" s="79" t="s">
        <v>11</v>
      </c>
      <c r="D62" s="80" t="s">
        <v>20</v>
      </c>
      <c r="E62" s="23">
        <v>0</v>
      </c>
      <c r="F62" s="23">
        <v>15415.56</v>
      </c>
      <c r="G62" s="23">
        <f t="shared" si="2"/>
        <v>15415.56</v>
      </c>
    </row>
    <row r="63" spans="1:7" x14ac:dyDescent="0.25">
      <c r="A63" s="261"/>
      <c r="B63" s="260"/>
      <c r="C63" s="79" t="s">
        <v>86</v>
      </c>
      <c r="D63" s="80"/>
      <c r="E63" s="23">
        <v>0</v>
      </c>
      <c r="F63" s="23">
        <v>21213.47</v>
      </c>
      <c r="G63" s="23">
        <f t="shared" si="2"/>
        <v>21213.47</v>
      </c>
    </row>
    <row r="64" spans="1:7" x14ac:dyDescent="0.25">
      <c r="A64" s="64" t="s">
        <v>18</v>
      </c>
      <c r="B64" s="33" t="s">
        <v>13</v>
      </c>
      <c r="C64" s="65" t="s">
        <v>14</v>
      </c>
      <c r="D64" s="64" t="s">
        <v>21</v>
      </c>
      <c r="E64" s="23">
        <v>0</v>
      </c>
      <c r="F64" s="23">
        <v>16639.5</v>
      </c>
      <c r="G64" s="23">
        <f t="shared" si="2"/>
        <v>16639.5</v>
      </c>
    </row>
    <row r="65" spans="1:7" x14ac:dyDescent="0.25">
      <c r="A65" s="80" t="s">
        <v>23</v>
      </c>
      <c r="B65" s="34" t="s">
        <v>0</v>
      </c>
      <c r="C65" s="79" t="s">
        <v>31</v>
      </c>
      <c r="D65" s="80"/>
      <c r="E65" s="23">
        <v>0</v>
      </c>
      <c r="F65" s="23">
        <v>304404.47999999998</v>
      </c>
      <c r="G65" s="23">
        <f t="shared" si="2"/>
        <v>304404.47999999998</v>
      </c>
    </row>
    <row r="66" spans="1:7" x14ac:dyDescent="0.25">
      <c r="A66" s="64" t="s">
        <v>24</v>
      </c>
      <c r="B66" s="33" t="s">
        <v>132</v>
      </c>
      <c r="C66" s="78" t="s">
        <v>133</v>
      </c>
      <c r="D66" s="64"/>
      <c r="E66" s="23">
        <v>0</v>
      </c>
      <c r="F66" s="23">
        <v>36966.18</v>
      </c>
      <c r="G66" s="23">
        <f t="shared" si="2"/>
        <v>36966.18</v>
      </c>
    </row>
    <row r="67" spans="1:7" x14ac:dyDescent="0.25">
      <c r="A67" s="253" t="s">
        <v>22</v>
      </c>
      <c r="B67" s="253"/>
      <c r="C67" s="253"/>
      <c r="D67" s="16"/>
      <c r="E67" s="17">
        <f>SUM(E60:E66)</f>
        <v>0</v>
      </c>
      <c r="F67" s="17">
        <f>SUM(F60:F66)</f>
        <v>496008.67</v>
      </c>
      <c r="G67" s="18">
        <f>SUM(G59:G65)</f>
        <v>459042.49</v>
      </c>
    </row>
    <row r="68" spans="1:7" x14ac:dyDescent="0.25">
      <c r="A68" s="15">
        <v>4</v>
      </c>
      <c r="B68" s="254" t="s">
        <v>83</v>
      </c>
      <c r="C68" s="254"/>
      <c r="D68" s="254"/>
      <c r="E68" s="254"/>
      <c r="F68" s="254"/>
      <c r="G68" s="254"/>
    </row>
    <row r="69" spans="1:7" x14ac:dyDescent="0.25">
      <c r="A69" s="253" t="s">
        <v>22</v>
      </c>
      <c r="B69" s="253"/>
      <c r="C69" s="253"/>
      <c r="D69" s="16"/>
      <c r="E69" s="17">
        <v>0</v>
      </c>
      <c r="F69" s="17">
        <v>0</v>
      </c>
      <c r="G69" s="18">
        <v>0</v>
      </c>
    </row>
    <row r="70" spans="1:7" x14ac:dyDescent="0.25">
      <c r="A70" s="15">
        <v>5</v>
      </c>
      <c r="B70" s="63" t="s">
        <v>84</v>
      </c>
      <c r="C70" s="63"/>
      <c r="D70" s="15" t="s">
        <v>26</v>
      </c>
      <c r="E70" s="36"/>
      <c r="F70" s="37"/>
      <c r="G70" s="38">
        <f>SUM(E70:F70)</f>
        <v>0</v>
      </c>
    </row>
    <row r="71" spans="1:7" x14ac:dyDescent="0.25">
      <c r="A71" s="67" t="s">
        <v>32</v>
      </c>
      <c r="B71" s="34" t="s">
        <v>3</v>
      </c>
      <c r="C71" s="66" t="s">
        <v>19</v>
      </c>
      <c r="D71" s="67"/>
      <c r="E71" s="23">
        <v>0</v>
      </c>
      <c r="F71" s="23">
        <v>20616.63</v>
      </c>
      <c r="G71" s="23">
        <f>SUM(E71:F71)</f>
        <v>20616.63</v>
      </c>
    </row>
    <row r="72" spans="1:7" x14ac:dyDescent="0.25">
      <c r="A72" s="253" t="s">
        <v>22</v>
      </c>
      <c r="B72" s="253"/>
      <c r="C72" s="253"/>
      <c r="D72" s="16"/>
      <c r="E72" s="17">
        <f>E71</f>
        <v>0</v>
      </c>
      <c r="F72" s="17">
        <f>F71</f>
        <v>20616.63</v>
      </c>
      <c r="G72" s="18">
        <f>E72+F72</f>
        <v>20616.63</v>
      </c>
    </row>
    <row r="73" spans="1:7" x14ac:dyDescent="0.25">
      <c r="A73" s="255" t="s">
        <v>1</v>
      </c>
      <c r="B73" s="255"/>
      <c r="C73" s="255"/>
      <c r="D73" s="255"/>
      <c r="E73" s="39">
        <f>E56+E58+E67+E72</f>
        <v>0</v>
      </c>
      <c r="F73" s="40">
        <f>F67+F72+F58+F56</f>
        <v>516625.3</v>
      </c>
      <c r="G73" s="39">
        <f>E73+F73</f>
        <v>516625.3</v>
      </c>
    </row>
    <row r="74" spans="1:7" x14ac:dyDescent="0.25">
      <c r="A74" s="266" t="s">
        <v>33</v>
      </c>
      <c r="B74" s="266"/>
      <c r="C74" s="266"/>
      <c r="D74" s="266"/>
      <c r="E74" s="266"/>
      <c r="F74" s="266"/>
      <c r="G74" s="266"/>
    </row>
    <row r="75" spans="1:7" x14ac:dyDescent="0.25">
      <c r="A75" s="12"/>
      <c r="B75" s="12"/>
      <c r="C75" s="11"/>
      <c r="D75" s="12"/>
      <c r="E75" s="12"/>
      <c r="F75" s="12"/>
      <c r="G75" s="12"/>
    </row>
    <row r="76" spans="1:7" x14ac:dyDescent="0.25">
      <c r="A76" s="258" t="s">
        <v>123</v>
      </c>
      <c r="B76" s="258"/>
      <c r="C76" s="258"/>
      <c r="D76" s="258"/>
      <c r="E76" s="258"/>
      <c r="F76" s="258"/>
      <c r="G76" s="258"/>
    </row>
    <row r="77" spans="1:7" ht="38.25" x14ac:dyDescent="0.25">
      <c r="A77" s="13" t="s">
        <v>27</v>
      </c>
      <c r="B77" s="13" t="s">
        <v>28</v>
      </c>
      <c r="C77" s="13" t="s">
        <v>29</v>
      </c>
      <c r="D77" s="13" t="s">
        <v>2</v>
      </c>
      <c r="E77" s="14" t="s">
        <v>117</v>
      </c>
      <c r="F77" s="14" t="s">
        <v>118</v>
      </c>
      <c r="G77" s="14" t="s">
        <v>119</v>
      </c>
    </row>
    <row r="78" spans="1:7" x14ac:dyDescent="0.25">
      <c r="A78" s="15">
        <v>1</v>
      </c>
      <c r="B78" s="254" t="s">
        <v>80</v>
      </c>
      <c r="C78" s="254"/>
      <c r="D78" s="254"/>
      <c r="E78" s="254"/>
      <c r="F78" s="254"/>
      <c r="G78" s="254"/>
    </row>
    <row r="79" spans="1:7" x14ac:dyDescent="0.25">
      <c r="A79" s="253" t="s">
        <v>22</v>
      </c>
      <c r="B79" s="253"/>
      <c r="C79" s="253"/>
      <c r="D79" s="16"/>
      <c r="E79" s="17">
        <v>0</v>
      </c>
      <c r="F79" s="17">
        <v>0</v>
      </c>
      <c r="G79" s="18">
        <v>0</v>
      </c>
    </row>
    <row r="80" spans="1:7" x14ac:dyDescent="0.25">
      <c r="A80" s="15">
        <v>2</v>
      </c>
      <c r="B80" s="254" t="s">
        <v>81</v>
      </c>
      <c r="C80" s="254"/>
      <c r="D80" s="254"/>
      <c r="E80" s="254"/>
      <c r="F80" s="254"/>
      <c r="G80" s="254"/>
    </row>
    <row r="81" spans="1:7" x14ac:dyDescent="0.25">
      <c r="A81" s="253" t="s">
        <v>22</v>
      </c>
      <c r="B81" s="253"/>
      <c r="C81" s="253"/>
      <c r="D81" s="16"/>
      <c r="E81" s="19">
        <f>0</f>
        <v>0</v>
      </c>
      <c r="F81" s="19">
        <f>0</f>
        <v>0</v>
      </c>
      <c r="G81" s="20">
        <f>G80</f>
        <v>0</v>
      </c>
    </row>
    <row r="82" spans="1:7" x14ac:dyDescent="0.25">
      <c r="A82" s="15">
        <v>3</v>
      </c>
      <c r="B82" s="254" t="s">
        <v>82</v>
      </c>
      <c r="C82" s="254"/>
      <c r="D82" s="254"/>
      <c r="E82" s="254"/>
      <c r="F82" s="254"/>
      <c r="G82" s="254"/>
    </row>
    <row r="83" spans="1:7" x14ac:dyDescent="0.25">
      <c r="A83" s="64" t="s">
        <v>4</v>
      </c>
      <c r="B83" s="79" t="s">
        <v>112</v>
      </c>
      <c r="C83" s="79" t="s">
        <v>113</v>
      </c>
      <c r="D83" s="64" t="s">
        <v>17</v>
      </c>
      <c r="E83" s="28">
        <v>0</v>
      </c>
      <c r="F83" s="28">
        <v>20470</v>
      </c>
      <c r="G83" s="28">
        <f>SUM(E83:F83)</f>
        <v>20470</v>
      </c>
    </row>
    <row r="84" spans="1:7" x14ac:dyDescent="0.25">
      <c r="A84" s="80" t="s">
        <v>5</v>
      </c>
      <c r="B84" s="34" t="s">
        <v>51</v>
      </c>
      <c r="C84" s="79" t="s">
        <v>86</v>
      </c>
      <c r="D84" s="80" t="s">
        <v>12</v>
      </c>
      <c r="E84" s="23">
        <v>0</v>
      </c>
      <c r="F84" s="23">
        <v>80899.48</v>
      </c>
      <c r="G84" s="28">
        <f t="shared" ref="G84:G89" si="3">SUM(E84:F84)</f>
        <v>80899.48</v>
      </c>
    </row>
    <row r="85" spans="1:7" x14ac:dyDescent="0.25">
      <c r="A85" s="274" t="s">
        <v>6</v>
      </c>
      <c r="B85" s="272" t="s">
        <v>10</v>
      </c>
      <c r="C85" s="65" t="s">
        <v>86</v>
      </c>
      <c r="D85" s="64"/>
      <c r="E85" s="28">
        <v>0</v>
      </c>
      <c r="F85" s="28">
        <v>21213.47</v>
      </c>
      <c r="G85" s="28">
        <f t="shared" si="3"/>
        <v>21213.47</v>
      </c>
    </row>
    <row r="86" spans="1:7" s="1" customFormat="1" x14ac:dyDescent="0.25">
      <c r="A86" s="275"/>
      <c r="B86" s="273"/>
      <c r="C86" s="78" t="s">
        <v>11</v>
      </c>
      <c r="D86" s="77"/>
      <c r="E86" s="28">
        <v>0</v>
      </c>
      <c r="F86" s="28">
        <v>59290.65</v>
      </c>
      <c r="G86" s="28">
        <f t="shared" si="3"/>
        <v>59290.65</v>
      </c>
    </row>
    <row r="87" spans="1:7" x14ac:dyDescent="0.25">
      <c r="A87" s="80" t="s">
        <v>18</v>
      </c>
      <c r="B87" s="34" t="s">
        <v>13</v>
      </c>
      <c r="C87" s="79" t="s">
        <v>14</v>
      </c>
      <c r="D87" s="80" t="s">
        <v>21</v>
      </c>
      <c r="E87" s="23">
        <v>0</v>
      </c>
      <c r="F87" s="23">
        <v>20088.8</v>
      </c>
      <c r="G87" s="28">
        <f t="shared" si="3"/>
        <v>20088.8</v>
      </c>
    </row>
    <row r="88" spans="1:7" x14ac:dyDescent="0.25">
      <c r="A88" s="64" t="s">
        <v>23</v>
      </c>
      <c r="B88" s="33" t="s">
        <v>0</v>
      </c>
      <c r="C88" s="65" t="s">
        <v>31</v>
      </c>
      <c r="D88" s="64"/>
      <c r="E88" s="28">
        <v>0</v>
      </c>
      <c r="F88" s="28">
        <v>271003.28000000003</v>
      </c>
      <c r="G88" s="28">
        <f t="shared" si="3"/>
        <v>271003.28000000003</v>
      </c>
    </row>
    <row r="89" spans="1:7" x14ac:dyDescent="0.25">
      <c r="A89" s="80" t="s">
        <v>24</v>
      </c>
      <c r="B89" s="34" t="s">
        <v>132</v>
      </c>
      <c r="C89" s="79" t="s">
        <v>133</v>
      </c>
      <c r="D89" s="80"/>
      <c r="E89" s="23">
        <v>0</v>
      </c>
      <c r="F89" s="23">
        <v>22871.279999999999</v>
      </c>
      <c r="G89" s="28">
        <f t="shared" si="3"/>
        <v>22871.279999999999</v>
      </c>
    </row>
    <row r="90" spans="1:7" x14ac:dyDescent="0.25">
      <c r="A90" s="253" t="s">
        <v>22</v>
      </c>
      <c r="B90" s="253"/>
      <c r="C90" s="253"/>
      <c r="D90" s="16"/>
      <c r="E90" s="17">
        <f>SUM(E83:E89)</f>
        <v>0</v>
      </c>
      <c r="F90" s="17">
        <f>SUM(F83:F89)</f>
        <v>495836.96000000008</v>
      </c>
      <c r="G90" s="18">
        <f>SUM(G82:G89)</f>
        <v>495836.96000000008</v>
      </c>
    </row>
    <row r="91" spans="1:7" x14ac:dyDescent="0.25">
      <c r="A91" s="15">
        <v>4</v>
      </c>
      <c r="B91" s="254" t="s">
        <v>83</v>
      </c>
      <c r="C91" s="254"/>
      <c r="D91" s="254"/>
      <c r="E91" s="254"/>
      <c r="F91" s="254"/>
      <c r="G91" s="254"/>
    </row>
    <row r="92" spans="1:7" x14ac:dyDescent="0.25">
      <c r="A92" s="253" t="s">
        <v>22</v>
      </c>
      <c r="B92" s="253"/>
      <c r="C92" s="253"/>
      <c r="D92" s="16"/>
      <c r="E92" s="17">
        <v>0</v>
      </c>
      <c r="F92" s="17">
        <v>0</v>
      </c>
      <c r="G92" s="18">
        <v>0</v>
      </c>
    </row>
    <row r="93" spans="1:7" x14ac:dyDescent="0.25">
      <c r="A93" s="15">
        <v>5</v>
      </c>
      <c r="B93" s="63" t="s">
        <v>84</v>
      </c>
      <c r="C93" s="63"/>
      <c r="D93" s="15" t="s">
        <v>26</v>
      </c>
      <c r="E93" s="36"/>
      <c r="F93" s="37"/>
      <c r="G93" s="38">
        <f>SUM(E93:F93)</f>
        <v>0</v>
      </c>
    </row>
    <row r="94" spans="1:7" x14ac:dyDescent="0.25">
      <c r="A94" s="67" t="s">
        <v>32</v>
      </c>
      <c r="B94" s="34" t="s">
        <v>3</v>
      </c>
      <c r="C94" s="66" t="s">
        <v>19</v>
      </c>
      <c r="D94" s="67"/>
      <c r="E94" s="23">
        <v>0</v>
      </c>
      <c r="F94" s="23">
        <v>20234.259999999998</v>
      </c>
      <c r="G94" s="23">
        <f>SUM(E94:F94)</f>
        <v>20234.259999999998</v>
      </c>
    </row>
    <row r="95" spans="1:7" x14ac:dyDescent="0.25">
      <c r="A95" s="253" t="s">
        <v>22</v>
      </c>
      <c r="B95" s="253"/>
      <c r="C95" s="253"/>
      <c r="D95" s="16"/>
      <c r="E95" s="17">
        <f>E94</f>
        <v>0</v>
      </c>
      <c r="F95" s="17">
        <f>F94</f>
        <v>20234.259999999998</v>
      </c>
      <c r="G95" s="18">
        <f>E95+F95</f>
        <v>20234.259999999998</v>
      </c>
    </row>
    <row r="96" spans="1:7" x14ac:dyDescent="0.25">
      <c r="A96" s="255" t="s">
        <v>1</v>
      </c>
      <c r="B96" s="255"/>
      <c r="C96" s="255"/>
      <c r="D96" s="255"/>
      <c r="E96" s="39">
        <f>E79+E81+E90+E95</f>
        <v>0</v>
      </c>
      <c r="F96" s="40">
        <f>F90+F95+F81+F79</f>
        <v>516071.22000000009</v>
      </c>
      <c r="G96" s="39">
        <f>E96+F96</f>
        <v>516071.22000000009</v>
      </c>
    </row>
    <row r="97" spans="1:7" x14ac:dyDescent="0.25">
      <c r="A97" s="266" t="s">
        <v>33</v>
      </c>
      <c r="B97" s="266"/>
      <c r="C97" s="266"/>
      <c r="D97" s="266"/>
      <c r="E97" s="266"/>
      <c r="F97" s="266"/>
      <c r="G97" s="266"/>
    </row>
    <row r="98" spans="1:7" x14ac:dyDescent="0.25">
      <c r="A98" s="12"/>
      <c r="B98" s="12"/>
      <c r="C98" s="11"/>
      <c r="D98" s="12"/>
      <c r="E98" s="12"/>
      <c r="F98" s="12"/>
      <c r="G98" s="12"/>
    </row>
    <row r="99" spans="1:7" x14ac:dyDescent="0.25">
      <c r="A99" s="258" t="s">
        <v>124</v>
      </c>
      <c r="B99" s="258"/>
      <c r="C99" s="258"/>
      <c r="D99" s="258"/>
      <c r="E99" s="258"/>
      <c r="F99" s="258"/>
      <c r="G99" s="258"/>
    </row>
    <row r="100" spans="1:7" ht="38.25" x14ac:dyDescent="0.25">
      <c r="A100" s="13" t="s">
        <v>27</v>
      </c>
      <c r="B100" s="13" t="s">
        <v>28</v>
      </c>
      <c r="C100" s="13" t="s">
        <v>29</v>
      </c>
      <c r="D100" s="13" t="s">
        <v>2</v>
      </c>
      <c r="E100" s="14" t="s">
        <v>117</v>
      </c>
      <c r="F100" s="14" t="s">
        <v>118</v>
      </c>
      <c r="G100" s="14" t="s">
        <v>119</v>
      </c>
    </row>
    <row r="101" spans="1:7" x14ac:dyDescent="0.25">
      <c r="A101" s="15">
        <v>1</v>
      </c>
      <c r="B101" s="254" t="s">
        <v>80</v>
      </c>
      <c r="C101" s="254"/>
      <c r="D101" s="254"/>
      <c r="E101" s="254"/>
      <c r="F101" s="254"/>
      <c r="G101" s="254"/>
    </row>
    <row r="102" spans="1:7" x14ac:dyDescent="0.25">
      <c r="A102" s="253" t="s">
        <v>22</v>
      </c>
      <c r="B102" s="253"/>
      <c r="C102" s="253"/>
      <c r="D102" s="16"/>
      <c r="E102" s="17">
        <v>0</v>
      </c>
      <c r="F102" s="17">
        <v>0</v>
      </c>
      <c r="G102" s="18">
        <v>0</v>
      </c>
    </row>
    <row r="103" spans="1:7" x14ac:dyDescent="0.25">
      <c r="A103" s="15">
        <v>2</v>
      </c>
      <c r="B103" s="254" t="s">
        <v>81</v>
      </c>
      <c r="C103" s="254"/>
      <c r="D103" s="254"/>
      <c r="E103" s="254"/>
      <c r="F103" s="254"/>
      <c r="G103" s="254"/>
    </row>
    <row r="104" spans="1:7" x14ac:dyDescent="0.25">
      <c r="A104" s="253" t="s">
        <v>22</v>
      </c>
      <c r="B104" s="253"/>
      <c r="C104" s="253"/>
      <c r="D104" s="16"/>
      <c r="E104" s="19">
        <f>0</f>
        <v>0</v>
      </c>
      <c r="F104" s="19">
        <f>0</f>
        <v>0</v>
      </c>
      <c r="G104" s="20">
        <f>G103</f>
        <v>0</v>
      </c>
    </row>
    <row r="105" spans="1:7" x14ac:dyDescent="0.25">
      <c r="A105" s="15">
        <v>3</v>
      </c>
      <c r="B105" s="254" t="s">
        <v>82</v>
      </c>
      <c r="C105" s="254"/>
      <c r="D105" s="254"/>
      <c r="E105" s="254"/>
      <c r="F105" s="254"/>
      <c r="G105" s="254"/>
    </row>
    <row r="106" spans="1:7" x14ac:dyDescent="0.25">
      <c r="A106" s="64" t="s">
        <v>4</v>
      </c>
      <c r="B106" s="34" t="s">
        <v>132</v>
      </c>
      <c r="C106" s="79" t="s">
        <v>133</v>
      </c>
      <c r="D106" s="64" t="s">
        <v>17</v>
      </c>
      <c r="E106" s="28">
        <v>0</v>
      </c>
      <c r="F106" s="28">
        <v>22871.279999999999</v>
      </c>
      <c r="G106" s="28">
        <f>SUM(E106:F106)</f>
        <v>22871.279999999999</v>
      </c>
    </row>
    <row r="107" spans="1:7" x14ac:dyDescent="0.25">
      <c r="A107" s="80" t="s">
        <v>5</v>
      </c>
      <c r="B107" s="34" t="s">
        <v>51</v>
      </c>
      <c r="C107" s="79" t="s">
        <v>86</v>
      </c>
      <c r="D107" s="80" t="s">
        <v>12</v>
      </c>
      <c r="E107" s="23">
        <v>0</v>
      </c>
      <c r="F107" s="23">
        <v>80899.48</v>
      </c>
      <c r="G107" s="28">
        <f t="shared" ref="G107:G112" si="4">SUM(E107:F107)</f>
        <v>80899.48</v>
      </c>
    </row>
    <row r="108" spans="1:7" x14ac:dyDescent="0.25">
      <c r="A108" s="256" t="s">
        <v>6</v>
      </c>
      <c r="B108" s="257" t="s">
        <v>10</v>
      </c>
      <c r="C108" s="65" t="s">
        <v>11</v>
      </c>
      <c r="D108" s="64" t="s">
        <v>20</v>
      </c>
      <c r="E108" s="28">
        <v>0</v>
      </c>
      <c r="F108" s="28">
        <v>72732.45</v>
      </c>
      <c r="G108" s="28">
        <f t="shared" si="4"/>
        <v>72732.45</v>
      </c>
    </row>
    <row r="109" spans="1:7" x14ac:dyDescent="0.25">
      <c r="A109" s="256"/>
      <c r="B109" s="257"/>
      <c r="C109" s="65" t="s">
        <v>86</v>
      </c>
      <c r="D109" s="64"/>
      <c r="E109" s="28">
        <v>0</v>
      </c>
      <c r="F109" s="28">
        <v>21213.47</v>
      </c>
      <c r="G109" s="28">
        <f t="shared" si="4"/>
        <v>21213.47</v>
      </c>
    </row>
    <row r="110" spans="1:7" x14ac:dyDescent="0.25">
      <c r="A110" s="80" t="s">
        <v>18</v>
      </c>
      <c r="B110" s="34" t="s">
        <v>13</v>
      </c>
      <c r="C110" s="79" t="s">
        <v>14</v>
      </c>
      <c r="D110" s="80" t="s">
        <v>21</v>
      </c>
      <c r="E110" s="23">
        <v>0</v>
      </c>
      <c r="F110" s="23">
        <v>25870.7</v>
      </c>
      <c r="G110" s="28">
        <f t="shared" si="4"/>
        <v>25870.7</v>
      </c>
    </row>
    <row r="111" spans="1:7" x14ac:dyDescent="0.25">
      <c r="A111" s="64" t="s">
        <v>23</v>
      </c>
      <c r="B111" s="33" t="s">
        <v>0</v>
      </c>
      <c r="C111" s="65" t="s">
        <v>31</v>
      </c>
      <c r="D111" s="64"/>
      <c r="E111" s="28">
        <v>0</v>
      </c>
      <c r="F111" s="28">
        <f>296852.72+59.64</f>
        <v>296912.36</v>
      </c>
      <c r="G111" s="28">
        <f t="shared" si="4"/>
        <v>296912.36</v>
      </c>
    </row>
    <row r="112" spans="1:7" x14ac:dyDescent="0.25">
      <c r="A112" s="80" t="s">
        <v>24</v>
      </c>
      <c r="B112" s="79" t="s">
        <v>112</v>
      </c>
      <c r="C112" s="79" t="s">
        <v>113</v>
      </c>
      <c r="D112" s="80"/>
      <c r="E112" s="23">
        <v>0</v>
      </c>
      <c r="F112" s="23">
        <v>20470</v>
      </c>
      <c r="G112" s="28">
        <f t="shared" si="4"/>
        <v>20470</v>
      </c>
    </row>
    <row r="113" spans="1:7" x14ac:dyDescent="0.25">
      <c r="A113" s="253" t="s">
        <v>22</v>
      </c>
      <c r="B113" s="253"/>
      <c r="C113" s="253"/>
      <c r="D113" s="16"/>
      <c r="E113" s="17">
        <f>SUM(E106:E112)</f>
        <v>0</v>
      </c>
      <c r="F113" s="17">
        <f>SUM(F106:F112)</f>
        <v>540969.74</v>
      </c>
      <c r="G113" s="18">
        <f>SUM(G105:G112)</f>
        <v>540969.74</v>
      </c>
    </row>
    <row r="114" spans="1:7" x14ac:dyDescent="0.25">
      <c r="A114" s="15">
        <v>4</v>
      </c>
      <c r="B114" s="254" t="s">
        <v>83</v>
      </c>
      <c r="C114" s="254"/>
      <c r="D114" s="254"/>
      <c r="E114" s="254"/>
      <c r="F114" s="254"/>
      <c r="G114" s="254"/>
    </row>
    <row r="115" spans="1:7" x14ac:dyDescent="0.25">
      <c r="A115" s="253" t="s">
        <v>22</v>
      </c>
      <c r="B115" s="253"/>
      <c r="C115" s="253"/>
      <c r="D115" s="16"/>
      <c r="E115" s="17">
        <v>0</v>
      </c>
      <c r="F115" s="17">
        <v>0</v>
      </c>
      <c r="G115" s="18">
        <v>0</v>
      </c>
    </row>
    <row r="116" spans="1:7" x14ac:dyDescent="0.25">
      <c r="A116" s="15">
        <v>5</v>
      </c>
      <c r="B116" s="63" t="s">
        <v>84</v>
      </c>
      <c r="C116" s="63"/>
      <c r="D116" s="15" t="s">
        <v>26</v>
      </c>
      <c r="E116" s="36"/>
      <c r="F116" s="37"/>
      <c r="G116" s="38">
        <f>SUM(E116:F116)</f>
        <v>0</v>
      </c>
    </row>
    <row r="117" spans="1:7" x14ac:dyDescent="0.25">
      <c r="A117" s="67" t="s">
        <v>32</v>
      </c>
      <c r="B117" s="34" t="s">
        <v>3</v>
      </c>
      <c r="C117" s="66" t="s">
        <v>19</v>
      </c>
      <c r="D117" s="67"/>
      <c r="E117" s="23">
        <v>0</v>
      </c>
      <c r="F117" s="23">
        <v>25347.42</v>
      </c>
      <c r="G117" s="23">
        <f>SUM(E117:F117)</f>
        <v>25347.42</v>
      </c>
    </row>
    <row r="118" spans="1:7" x14ac:dyDescent="0.25">
      <c r="A118" s="253" t="s">
        <v>22</v>
      </c>
      <c r="B118" s="253"/>
      <c r="C118" s="253"/>
      <c r="D118" s="16"/>
      <c r="E118" s="17">
        <f>E117</f>
        <v>0</v>
      </c>
      <c r="F118" s="17">
        <f>F117</f>
        <v>25347.42</v>
      </c>
      <c r="G118" s="18">
        <f>E118+F118</f>
        <v>25347.42</v>
      </c>
    </row>
    <row r="119" spans="1:7" x14ac:dyDescent="0.25">
      <c r="A119" s="255" t="s">
        <v>1</v>
      </c>
      <c r="B119" s="255"/>
      <c r="C119" s="255"/>
      <c r="D119" s="255"/>
      <c r="E119" s="39">
        <f>E102+E104+E113+E118</f>
        <v>0</v>
      </c>
      <c r="F119" s="40">
        <f>F113+F118+F104+F102</f>
        <v>566317.16</v>
      </c>
      <c r="G119" s="39">
        <f>E119+F119</f>
        <v>566317.16</v>
      </c>
    </row>
    <row r="120" spans="1:7" x14ac:dyDescent="0.25">
      <c r="A120" s="266" t="s">
        <v>33</v>
      </c>
      <c r="B120" s="266"/>
      <c r="C120" s="266"/>
      <c r="D120" s="266"/>
      <c r="E120" s="266"/>
      <c r="F120" s="266"/>
      <c r="G120" s="266"/>
    </row>
    <row r="121" spans="1:7" x14ac:dyDescent="0.25">
      <c r="A121" s="12"/>
      <c r="B121" s="12"/>
      <c r="C121" s="11"/>
      <c r="D121" s="12"/>
      <c r="E121" s="12"/>
      <c r="F121" s="12"/>
      <c r="G121" s="12"/>
    </row>
    <row r="122" spans="1:7" x14ac:dyDescent="0.25">
      <c r="A122" s="258" t="s">
        <v>125</v>
      </c>
      <c r="B122" s="258"/>
      <c r="C122" s="258"/>
      <c r="D122" s="258"/>
      <c r="E122" s="258"/>
      <c r="F122" s="258"/>
      <c r="G122" s="258"/>
    </row>
    <row r="123" spans="1:7" ht="38.25" x14ac:dyDescent="0.25">
      <c r="A123" s="13" t="s">
        <v>27</v>
      </c>
      <c r="B123" s="13" t="s">
        <v>28</v>
      </c>
      <c r="C123" s="13" t="s">
        <v>29</v>
      </c>
      <c r="D123" s="13" t="s">
        <v>2</v>
      </c>
      <c r="E123" s="14" t="s">
        <v>117</v>
      </c>
      <c r="F123" s="14" t="s">
        <v>118</v>
      </c>
      <c r="G123" s="14" t="s">
        <v>119</v>
      </c>
    </row>
    <row r="124" spans="1:7" x14ac:dyDescent="0.25">
      <c r="A124" s="15">
        <v>1</v>
      </c>
      <c r="B124" s="254" t="s">
        <v>80</v>
      </c>
      <c r="C124" s="254"/>
      <c r="D124" s="254"/>
      <c r="E124" s="254"/>
      <c r="F124" s="254"/>
      <c r="G124" s="254"/>
    </row>
    <row r="125" spans="1:7" x14ac:dyDescent="0.25">
      <c r="A125" s="253" t="s">
        <v>22</v>
      </c>
      <c r="B125" s="253"/>
      <c r="C125" s="253"/>
      <c r="D125" s="16"/>
      <c r="E125" s="17">
        <v>0</v>
      </c>
      <c r="F125" s="17">
        <v>0</v>
      </c>
      <c r="G125" s="18">
        <v>0</v>
      </c>
    </row>
    <row r="126" spans="1:7" x14ac:dyDescent="0.25">
      <c r="A126" s="15">
        <v>2</v>
      </c>
      <c r="B126" s="254" t="s">
        <v>81</v>
      </c>
      <c r="C126" s="254"/>
      <c r="D126" s="254"/>
      <c r="E126" s="254"/>
      <c r="F126" s="254"/>
      <c r="G126" s="254"/>
    </row>
    <row r="127" spans="1:7" x14ac:dyDescent="0.25">
      <c r="A127" s="253" t="s">
        <v>22</v>
      </c>
      <c r="B127" s="253"/>
      <c r="C127" s="253"/>
      <c r="D127" s="16"/>
      <c r="E127" s="19">
        <f>0</f>
        <v>0</v>
      </c>
      <c r="F127" s="19">
        <f>0</f>
        <v>0</v>
      </c>
      <c r="G127" s="20">
        <f>G126</f>
        <v>0</v>
      </c>
    </row>
    <row r="128" spans="1:7" x14ac:dyDescent="0.25">
      <c r="A128" s="15">
        <v>3</v>
      </c>
      <c r="B128" s="254" t="s">
        <v>82</v>
      </c>
      <c r="C128" s="254"/>
      <c r="D128" s="254"/>
      <c r="E128" s="254"/>
      <c r="F128" s="254"/>
      <c r="G128" s="254"/>
    </row>
    <row r="129" spans="1:7" x14ac:dyDescent="0.25">
      <c r="A129" s="77" t="s">
        <v>4</v>
      </c>
      <c r="B129" s="78" t="s">
        <v>112</v>
      </c>
      <c r="C129" s="78" t="s">
        <v>113</v>
      </c>
      <c r="D129" s="77" t="s">
        <v>17</v>
      </c>
      <c r="E129" s="28">
        <v>0</v>
      </c>
      <c r="F129" s="28">
        <v>20470</v>
      </c>
      <c r="G129" s="28">
        <f>SUM(E129:F129)</f>
        <v>20470</v>
      </c>
    </row>
    <row r="130" spans="1:7" x14ac:dyDescent="0.25">
      <c r="A130" s="80" t="s">
        <v>5</v>
      </c>
      <c r="B130" s="34" t="s">
        <v>51</v>
      </c>
      <c r="C130" s="79" t="s">
        <v>86</v>
      </c>
      <c r="D130" s="80" t="s">
        <v>12</v>
      </c>
      <c r="E130" s="23">
        <v>0</v>
      </c>
      <c r="F130" s="23">
        <v>80899.48</v>
      </c>
      <c r="G130" s="28">
        <f t="shared" ref="G130:G135" si="5">SUM(E130:F130)</f>
        <v>80899.48</v>
      </c>
    </row>
    <row r="131" spans="1:7" x14ac:dyDescent="0.25">
      <c r="A131" s="256" t="s">
        <v>6</v>
      </c>
      <c r="B131" s="257" t="s">
        <v>10</v>
      </c>
      <c r="C131" s="65" t="s">
        <v>11</v>
      </c>
      <c r="D131" s="64" t="s">
        <v>20</v>
      </c>
      <c r="E131" s="28">
        <v>0</v>
      </c>
      <c r="F131" s="28">
        <v>37373.550000000003</v>
      </c>
      <c r="G131" s="28">
        <f t="shared" si="5"/>
        <v>37373.550000000003</v>
      </c>
    </row>
    <row r="132" spans="1:7" x14ac:dyDescent="0.25">
      <c r="A132" s="256"/>
      <c r="B132" s="257"/>
      <c r="C132" s="65" t="s">
        <v>86</v>
      </c>
      <c r="D132" s="64"/>
      <c r="E132" s="28">
        <v>0</v>
      </c>
      <c r="F132" s="28">
        <v>21213.47</v>
      </c>
      <c r="G132" s="28">
        <f t="shared" si="5"/>
        <v>21213.47</v>
      </c>
    </row>
    <row r="133" spans="1:7" x14ac:dyDescent="0.25">
      <c r="A133" s="80" t="s">
        <v>18</v>
      </c>
      <c r="B133" s="34" t="s">
        <v>13</v>
      </c>
      <c r="C133" s="79" t="s">
        <v>14</v>
      </c>
      <c r="D133" s="80" t="s">
        <v>21</v>
      </c>
      <c r="E133" s="23">
        <v>0</v>
      </c>
      <c r="F133" s="23">
        <v>20658.900000000001</v>
      </c>
      <c r="G133" s="28">
        <f t="shared" si="5"/>
        <v>20658.900000000001</v>
      </c>
    </row>
    <row r="134" spans="1:7" x14ac:dyDescent="0.25">
      <c r="A134" s="64" t="s">
        <v>23</v>
      </c>
      <c r="B134" s="33" t="s">
        <v>0</v>
      </c>
      <c r="C134" s="65" t="s">
        <v>31</v>
      </c>
      <c r="D134" s="64"/>
      <c r="E134" s="28">
        <v>0</v>
      </c>
      <c r="F134" s="28">
        <v>298333.65000000002</v>
      </c>
      <c r="G134" s="28">
        <f t="shared" si="5"/>
        <v>298333.65000000002</v>
      </c>
    </row>
    <row r="135" spans="1:7" x14ac:dyDescent="0.25">
      <c r="A135" s="80" t="s">
        <v>24</v>
      </c>
      <c r="B135" s="34" t="s">
        <v>132</v>
      </c>
      <c r="C135" s="79" t="s">
        <v>133</v>
      </c>
      <c r="D135" s="80"/>
      <c r="E135" s="23">
        <v>0</v>
      </c>
      <c r="F135" s="23">
        <v>22871.279999999999</v>
      </c>
      <c r="G135" s="28">
        <f t="shared" si="5"/>
        <v>22871.279999999999</v>
      </c>
    </row>
    <row r="136" spans="1:7" x14ac:dyDescent="0.25">
      <c r="A136" s="253" t="s">
        <v>22</v>
      </c>
      <c r="B136" s="253"/>
      <c r="C136" s="253"/>
      <c r="D136" s="16"/>
      <c r="E136" s="17">
        <f>SUM(E129:E135)</f>
        <v>0</v>
      </c>
      <c r="F136" s="17">
        <f>SUM(F129:F135)</f>
        <v>501820.33000000007</v>
      </c>
      <c r="G136" s="18">
        <f>SUM(G128:G135)</f>
        <v>501820.33000000007</v>
      </c>
    </row>
    <row r="137" spans="1:7" x14ac:dyDescent="0.25">
      <c r="A137" s="15">
        <v>4</v>
      </c>
      <c r="B137" s="254" t="s">
        <v>83</v>
      </c>
      <c r="C137" s="254"/>
      <c r="D137" s="254"/>
      <c r="E137" s="254"/>
      <c r="F137" s="254"/>
      <c r="G137" s="254"/>
    </row>
    <row r="138" spans="1:7" x14ac:dyDescent="0.25">
      <c r="A138" s="253" t="s">
        <v>22</v>
      </c>
      <c r="B138" s="253"/>
      <c r="C138" s="253"/>
      <c r="D138" s="16"/>
      <c r="E138" s="17">
        <v>0</v>
      </c>
      <c r="F138" s="17">
        <v>0</v>
      </c>
      <c r="G138" s="18">
        <v>0</v>
      </c>
    </row>
    <row r="139" spans="1:7" x14ac:dyDescent="0.25">
      <c r="A139" s="15">
        <v>5</v>
      </c>
      <c r="B139" s="63" t="s">
        <v>84</v>
      </c>
      <c r="C139" s="63"/>
      <c r="D139" s="15" t="s">
        <v>26</v>
      </c>
      <c r="E139" s="36"/>
      <c r="F139" s="37"/>
      <c r="G139" s="38">
        <f>SUM(E139:F139)</f>
        <v>0</v>
      </c>
    </row>
    <row r="140" spans="1:7" x14ac:dyDescent="0.25">
      <c r="A140" s="67" t="s">
        <v>32</v>
      </c>
      <c r="B140" s="34" t="s">
        <v>3</v>
      </c>
      <c r="C140" s="66" t="s">
        <v>19</v>
      </c>
      <c r="D140" s="67"/>
      <c r="E140" s="23">
        <v>0</v>
      </c>
      <c r="F140" s="23">
        <v>29372.92</v>
      </c>
      <c r="G140" s="23">
        <f>SUM(E140:F140)</f>
        <v>29372.92</v>
      </c>
    </row>
    <row r="141" spans="1:7" x14ac:dyDescent="0.25">
      <c r="A141" s="253" t="s">
        <v>22</v>
      </c>
      <c r="B141" s="253"/>
      <c r="C141" s="253"/>
      <c r="D141" s="16"/>
      <c r="E141" s="17">
        <f>E140</f>
        <v>0</v>
      </c>
      <c r="F141" s="17">
        <f>F140</f>
        <v>29372.92</v>
      </c>
      <c r="G141" s="18">
        <f>E141+F141</f>
        <v>29372.92</v>
      </c>
    </row>
    <row r="142" spans="1:7" x14ac:dyDescent="0.25">
      <c r="A142" s="259" t="s">
        <v>1</v>
      </c>
      <c r="B142" s="259"/>
      <c r="C142" s="259"/>
      <c r="D142" s="259"/>
      <c r="E142" s="8">
        <f>E125+E127+E136+E141</f>
        <v>0</v>
      </c>
      <c r="F142" s="9">
        <f>F136+F141+F127+F125</f>
        <v>531193.25000000012</v>
      </c>
      <c r="G142" s="8">
        <f>E142+F142</f>
        <v>531193.25000000012</v>
      </c>
    </row>
    <row r="143" spans="1:7" x14ac:dyDescent="0.25">
      <c r="A143" s="266" t="s">
        <v>33</v>
      </c>
      <c r="B143" s="266"/>
      <c r="C143" s="266"/>
      <c r="D143" s="266"/>
      <c r="E143" s="266"/>
      <c r="F143" s="266"/>
      <c r="G143" s="266"/>
    </row>
    <row r="144" spans="1:7" x14ac:dyDescent="0.25">
      <c r="A144" s="12"/>
      <c r="B144" s="12"/>
      <c r="C144" s="11"/>
      <c r="D144" s="12"/>
      <c r="E144" s="12"/>
      <c r="F144" s="12"/>
      <c r="G144" s="12"/>
    </row>
    <row r="145" spans="1:7" x14ac:dyDescent="0.25">
      <c r="A145" s="258" t="s">
        <v>126</v>
      </c>
      <c r="B145" s="258"/>
      <c r="C145" s="258"/>
      <c r="D145" s="258"/>
      <c r="E145" s="258"/>
      <c r="F145" s="258"/>
      <c r="G145" s="258"/>
    </row>
    <row r="146" spans="1:7" ht="38.25" x14ac:dyDescent="0.25">
      <c r="A146" s="13" t="s">
        <v>27</v>
      </c>
      <c r="B146" s="13" t="s">
        <v>28</v>
      </c>
      <c r="C146" s="13" t="s">
        <v>29</v>
      </c>
      <c r="D146" s="13" t="s">
        <v>2</v>
      </c>
      <c r="E146" s="14" t="s">
        <v>117</v>
      </c>
      <c r="F146" s="14" t="s">
        <v>118</v>
      </c>
      <c r="G146" s="14" t="s">
        <v>119</v>
      </c>
    </row>
    <row r="147" spans="1:7" x14ac:dyDescent="0.25">
      <c r="A147" s="15">
        <v>1</v>
      </c>
      <c r="B147" s="254" t="s">
        <v>80</v>
      </c>
      <c r="C147" s="254"/>
      <c r="D147" s="254"/>
      <c r="E147" s="254"/>
      <c r="F147" s="254"/>
      <c r="G147" s="254"/>
    </row>
    <row r="148" spans="1:7" x14ac:dyDescent="0.25">
      <c r="A148" s="253" t="s">
        <v>22</v>
      </c>
      <c r="B148" s="253"/>
      <c r="C148" s="253"/>
      <c r="D148" s="16"/>
      <c r="E148" s="17">
        <v>0</v>
      </c>
      <c r="F148" s="17">
        <v>0</v>
      </c>
      <c r="G148" s="18">
        <v>0</v>
      </c>
    </row>
    <row r="149" spans="1:7" x14ac:dyDescent="0.25">
      <c r="A149" s="15">
        <v>2</v>
      </c>
      <c r="B149" s="254" t="s">
        <v>81</v>
      </c>
      <c r="C149" s="254"/>
      <c r="D149" s="254"/>
      <c r="E149" s="254"/>
      <c r="F149" s="254"/>
      <c r="G149" s="254"/>
    </row>
    <row r="150" spans="1:7" x14ac:dyDescent="0.25">
      <c r="A150" s="253" t="s">
        <v>22</v>
      </c>
      <c r="B150" s="253"/>
      <c r="C150" s="253"/>
      <c r="D150" s="16"/>
      <c r="E150" s="19">
        <f>0</f>
        <v>0</v>
      </c>
      <c r="F150" s="19">
        <f>0</f>
        <v>0</v>
      </c>
      <c r="G150" s="20">
        <f>G149</f>
        <v>0</v>
      </c>
    </row>
    <row r="151" spans="1:7" x14ac:dyDescent="0.25">
      <c r="A151" s="15">
        <v>3</v>
      </c>
      <c r="B151" s="254" t="s">
        <v>82</v>
      </c>
      <c r="C151" s="254"/>
      <c r="D151" s="254"/>
      <c r="E151" s="254"/>
      <c r="F151" s="254"/>
      <c r="G151" s="254"/>
    </row>
    <row r="152" spans="1:7" x14ac:dyDescent="0.25">
      <c r="A152" s="67" t="s">
        <v>4</v>
      </c>
      <c r="B152" s="34" t="s">
        <v>51</v>
      </c>
      <c r="C152" s="79" t="s">
        <v>86</v>
      </c>
      <c r="D152" s="80" t="s">
        <v>12</v>
      </c>
      <c r="E152" s="23">
        <v>0</v>
      </c>
      <c r="F152" s="23">
        <v>80899.48</v>
      </c>
      <c r="G152" s="23">
        <f>SUM(E152:F152)</f>
        <v>80899.48</v>
      </c>
    </row>
    <row r="153" spans="1:7" x14ac:dyDescent="0.25">
      <c r="A153" s="256" t="s">
        <v>5</v>
      </c>
      <c r="B153" s="257" t="s">
        <v>10</v>
      </c>
      <c r="C153" s="65" t="s">
        <v>11</v>
      </c>
      <c r="D153" s="64" t="s">
        <v>20</v>
      </c>
      <c r="E153" s="28">
        <v>0</v>
      </c>
      <c r="F153" s="28">
        <v>28262.639999999999</v>
      </c>
      <c r="G153" s="28">
        <f t="shared" ref="G153:G158" si="6">SUM(E153:F153)</f>
        <v>28262.639999999999</v>
      </c>
    </row>
    <row r="154" spans="1:7" x14ac:dyDescent="0.25">
      <c r="A154" s="256"/>
      <c r="B154" s="257"/>
      <c r="C154" s="65" t="s">
        <v>86</v>
      </c>
      <c r="D154" s="64"/>
      <c r="E154" s="28">
        <v>0</v>
      </c>
      <c r="F154" s="28">
        <v>21213.47</v>
      </c>
      <c r="G154" s="28">
        <f t="shared" si="6"/>
        <v>21213.47</v>
      </c>
    </row>
    <row r="155" spans="1:7" x14ac:dyDescent="0.25">
      <c r="A155" s="67" t="s">
        <v>6</v>
      </c>
      <c r="B155" s="34" t="s">
        <v>13</v>
      </c>
      <c r="C155" s="79" t="s">
        <v>14</v>
      </c>
      <c r="D155" s="80" t="s">
        <v>21</v>
      </c>
      <c r="E155" s="23">
        <v>0</v>
      </c>
      <c r="F155" s="23">
        <v>19402.900000000001</v>
      </c>
      <c r="G155" s="23">
        <f t="shared" si="6"/>
        <v>19402.900000000001</v>
      </c>
    </row>
    <row r="156" spans="1:7" x14ac:dyDescent="0.25">
      <c r="A156" s="64" t="s">
        <v>18</v>
      </c>
      <c r="B156" s="33" t="s">
        <v>0</v>
      </c>
      <c r="C156" s="65" t="s">
        <v>31</v>
      </c>
      <c r="D156" s="64"/>
      <c r="E156" s="28">
        <v>0</v>
      </c>
      <c r="F156" s="28">
        <v>287567.59000000003</v>
      </c>
      <c r="G156" s="28">
        <f t="shared" si="6"/>
        <v>287567.59000000003</v>
      </c>
    </row>
    <row r="157" spans="1:7" x14ac:dyDescent="0.25">
      <c r="A157" s="67" t="s">
        <v>23</v>
      </c>
      <c r="B157" s="34" t="s">
        <v>132</v>
      </c>
      <c r="C157" s="79" t="s">
        <v>133</v>
      </c>
      <c r="D157" s="80"/>
      <c r="E157" s="23">
        <v>0</v>
      </c>
      <c r="F157" s="23">
        <v>22871.279999999999</v>
      </c>
      <c r="G157" s="23">
        <f t="shared" si="6"/>
        <v>22871.279999999999</v>
      </c>
    </row>
    <row r="158" spans="1:7" s="1" customFormat="1" x14ac:dyDescent="0.25">
      <c r="A158" s="80" t="s">
        <v>25</v>
      </c>
      <c r="B158" s="78" t="s">
        <v>112</v>
      </c>
      <c r="C158" s="78" t="s">
        <v>113</v>
      </c>
      <c r="D158" s="80"/>
      <c r="E158" s="28">
        <v>0</v>
      </c>
      <c r="F158" s="28">
        <v>20470</v>
      </c>
      <c r="G158" s="28">
        <f t="shared" si="6"/>
        <v>20470</v>
      </c>
    </row>
    <row r="159" spans="1:7" x14ac:dyDescent="0.25">
      <c r="A159" s="253" t="s">
        <v>22</v>
      </c>
      <c r="B159" s="253"/>
      <c r="C159" s="253"/>
      <c r="D159" s="16"/>
      <c r="E159" s="17">
        <f>SUM(E152:E158)</f>
        <v>0</v>
      </c>
      <c r="F159" s="17">
        <f>SUM(F152:F158)</f>
        <v>480687.35999999999</v>
      </c>
      <c r="G159" s="18">
        <f>SUM(G151:G157)</f>
        <v>460217.36</v>
      </c>
    </row>
    <row r="160" spans="1:7" x14ac:dyDescent="0.25">
      <c r="A160" s="15">
        <v>4</v>
      </c>
      <c r="B160" s="254" t="s">
        <v>83</v>
      </c>
      <c r="C160" s="254"/>
      <c r="D160" s="254"/>
      <c r="E160" s="254"/>
      <c r="F160" s="254"/>
      <c r="G160" s="254"/>
    </row>
    <row r="161" spans="1:7" x14ac:dyDescent="0.25">
      <c r="A161" s="253" t="s">
        <v>22</v>
      </c>
      <c r="B161" s="253"/>
      <c r="C161" s="253"/>
      <c r="D161" s="16"/>
      <c r="E161" s="17">
        <v>0</v>
      </c>
      <c r="F161" s="17">
        <v>0</v>
      </c>
      <c r="G161" s="18">
        <v>0</v>
      </c>
    </row>
    <row r="162" spans="1:7" x14ac:dyDescent="0.25">
      <c r="A162" s="15">
        <v>5</v>
      </c>
      <c r="B162" s="63" t="s">
        <v>84</v>
      </c>
      <c r="C162" s="63"/>
      <c r="D162" s="15" t="s">
        <v>26</v>
      </c>
      <c r="E162" s="36"/>
      <c r="F162" s="37"/>
      <c r="G162" s="38">
        <f>SUM(E162:F162)</f>
        <v>0</v>
      </c>
    </row>
    <row r="163" spans="1:7" x14ac:dyDescent="0.25">
      <c r="A163" s="67" t="s">
        <v>32</v>
      </c>
      <c r="B163" s="34" t="s">
        <v>3</v>
      </c>
      <c r="C163" s="66" t="s">
        <v>19</v>
      </c>
      <c r="D163" s="67"/>
      <c r="E163" s="23">
        <v>0</v>
      </c>
      <c r="F163" s="24">
        <v>33961.129999999997</v>
      </c>
      <c r="G163" s="25">
        <f>SUM(E163:F163)</f>
        <v>33961.129999999997</v>
      </c>
    </row>
    <row r="164" spans="1:7" x14ac:dyDescent="0.25">
      <c r="A164" s="253" t="s">
        <v>22</v>
      </c>
      <c r="B164" s="253"/>
      <c r="C164" s="253"/>
      <c r="D164" s="16"/>
      <c r="E164" s="17">
        <f>E163</f>
        <v>0</v>
      </c>
      <c r="F164" s="17">
        <f>F163</f>
        <v>33961.129999999997</v>
      </c>
      <c r="G164" s="18">
        <f>E164+F164</f>
        <v>33961.129999999997</v>
      </c>
    </row>
    <row r="165" spans="1:7" x14ac:dyDescent="0.25">
      <c r="A165" s="255" t="s">
        <v>1</v>
      </c>
      <c r="B165" s="255"/>
      <c r="C165" s="255"/>
      <c r="D165" s="255"/>
      <c r="E165" s="39">
        <f>E148+E150+E159+E164</f>
        <v>0</v>
      </c>
      <c r="F165" s="40">
        <f>F159+F164+F150+F148</f>
        <v>514648.49</v>
      </c>
      <c r="G165" s="39">
        <f>E165+F165</f>
        <v>514648.49</v>
      </c>
    </row>
    <row r="166" spans="1:7" x14ac:dyDescent="0.25">
      <c r="A166" s="266" t="s">
        <v>33</v>
      </c>
      <c r="B166" s="266"/>
      <c r="C166" s="266"/>
      <c r="D166" s="266"/>
      <c r="E166" s="266"/>
      <c r="F166" s="266"/>
      <c r="G166" s="266"/>
    </row>
    <row r="167" spans="1:7" x14ac:dyDescent="0.25">
      <c r="A167" s="12"/>
      <c r="B167" s="12"/>
      <c r="C167" s="11"/>
      <c r="D167" s="12"/>
      <c r="E167" s="12"/>
      <c r="F167" s="12"/>
      <c r="G167" s="12"/>
    </row>
    <row r="168" spans="1:7" x14ac:dyDescent="0.25">
      <c r="A168" s="258" t="s">
        <v>127</v>
      </c>
      <c r="B168" s="258"/>
      <c r="C168" s="258"/>
      <c r="D168" s="258"/>
      <c r="E168" s="258"/>
      <c r="F168" s="258"/>
      <c r="G168" s="258"/>
    </row>
    <row r="169" spans="1:7" ht="38.25" x14ac:dyDescent="0.25">
      <c r="A169" s="13" t="s">
        <v>27</v>
      </c>
      <c r="B169" s="13" t="s">
        <v>28</v>
      </c>
      <c r="C169" s="13" t="s">
        <v>29</v>
      </c>
      <c r="D169" s="13" t="s">
        <v>2</v>
      </c>
      <c r="E169" s="14" t="s">
        <v>117</v>
      </c>
      <c r="F169" s="14" t="s">
        <v>118</v>
      </c>
      <c r="G169" s="14" t="s">
        <v>119</v>
      </c>
    </row>
    <row r="170" spans="1:7" x14ac:dyDescent="0.25">
      <c r="A170" s="15">
        <v>1</v>
      </c>
      <c r="B170" s="254" t="s">
        <v>80</v>
      </c>
      <c r="C170" s="254"/>
      <c r="D170" s="254"/>
      <c r="E170" s="254"/>
      <c r="F170" s="254"/>
      <c r="G170" s="254"/>
    </row>
    <row r="171" spans="1:7" x14ac:dyDescent="0.25">
      <c r="A171" s="253" t="s">
        <v>22</v>
      </c>
      <c r="B171" s="253"/>
      <c r="C171" s="253"/>
      <c r="D171" s="16"/>
      <c r="E171" s="17">
        <v>0</v>
      </c>
      <c r="F171" s="17">
        <v>0</v>
      </c>
      <c r="G171" s="18">
        <v>0</v>
      </c>
    </row>
    <row r="172" spans="1:7" x14ac:dyDescent="0.25">
      <c r="A172" s="15">
        <v>2</v>
      </c>
      <c r="B172" s="254" t="s">
        <v>81</v>
      </c>
      <c r="C172" s="254"/>
      <c r="D172" s="254"/>
      <c r="E172" s="254"/>
      <c r="F172" s="254"/>
      <c r="G172" s="254"/>
    </row>
    <row r="173" spans="1:7" x14ac:dyDescent="0.25">
      <c r="A173" s="253" t="s">
        <v>22</v>
      </c>
      <c r="B173" s="253"/>
      <c r="C173" s="253"/>
      <c r="D173" s="16"/>
      <c r="E173" s="19">
        <f>0</f>
        <v>0</v>
      </c>
      <c r="F173" s="19">
        <f>0</f>
        <v>0</v>
      </c>
      <c r="G173" s="20">
        <f>G172</f>
        <v>0</v>
      </c>
    </row>
    <row r="174" spans="1:7" x14ac:dyDescent="0.25">
      <c r="A174" s="15">
        <v>3</v>
      </c>
      <c r="B174" s="254" t="s">
        <v>82</v>
      </c>
      <c r="C174" s="254"/>
      <c r="D174" s="254"/>
      <c r="E174" s="254"/>
      <c r="F174" s="254"/>
      <c r="G174" s="254"/>
    </row>
    <row r="175" spans="1:7" x14ac:dyDescent="0.25">
      <c r="A175" s="77" t="s">
        <v>4</v>
      </c>
      <c r="B175" s="33" t="s">
        <v>51</v>
      </c>
      <c r="C175" s="78" t="s">
        <v>86</v>
      </c>
      <c r="D175" s="77" t="s">
        <v>12</v>
      </c>
      <c r="E175" s="28">
        <v>0</v>
      </c>
      <c r="F175" s="28">
        <v>80899.48</v>
      </c>
      <c r="G175" s="28">
        <f>SUM(E175:F175)</f>
        <v>80899.48</v>
      </c>
    </row>
    <row r="176" spans="1:7" x14ac:dyDescent="0.25">
      <c r="A176" s="80" t="s">
        <v>5</v>
      </c>
      <c r="B176" s="34" t="s">
        <v>13</v>
      </c>
      <c r="C176" s="79" t="s">
        <v>14</v>
      </c>
      <c r="D176" s="80" t="s">
        <v>21</v>
      </c>
      <c r="E176" s="23">
        <v>0</v>
      </c>
      <c r="F176" s="23">
        <v>18572.400000000001</v>
      </c>
      <c r="G176" s="23">
        <f t="shared" ref="G176:G180" si="7">SUM(E176:F176)</f>
        <v>18572.400000000001</v>
      </c>
    </row>
    <row r="177" spans="1:7" s="1" customFormat="1" x14ac:dyDescent="0.25">
      <c r="A177" s="75" t="s">
        <v>6</v>
      </c>
      <c r="B177" s="78" t="s">
        <v>10</v>
      </c>
      <c r="C177" s="78" t="s">
        <v>86</v>
      </c>
      <c r="D177" s="77"/>
      <c r="E177" s="28">
        <v>0</v>
      </c>
      <c r="F177" s="28">
        <v>21213.47</v>
      </c>
      <c r="G177" s="28">
        <f t="shared" si="7"/>
        <v>21213.47</v>
      </c>
    </row>
    <row r="178" spans="1:7" x14ac:dyDescent="0.25">
      <c r="A178" s="80">
        <v>34</v>
      </c>
      <c r="B178" s="34" t="s">
        <v>132</v>
      </c>
      <c r="C178" s="79" t="s">
        <v>133</v>
      </c>
      <c r="D178" s="80"/>
      <c r="E178" s="23">
        <v>0</v>
      </c>
      <c r="F178" s="23">
        <v>22871.279999999999</v>
      </c>
      <c r="G178" s="23">
        <f t="shared" si="7"/>
        <v>22871.279999999999</v>
      </c>
    </row>
    <row r="179" spans="1:7" x14ac:dyDescent="0.25">
      <c r="A179" s="77" t="s">
        <v>23</v>
      </c>
      <c r="B179" s="78" t="s">
        <v>112</v>
      </c>
      <c r="C179" s="78" t="s">
        <v>113</v>
      </c>
      <c r="D179" s="77"/>
      <c r="E179" s="28">
        <v>0</v>
      </c>
      <c r="F179" s="28">
        <v>20470</v>
      </c>
      <c r="G179" s="28">
        <f t="shared" si="7"/>
        <v>20470</v>
      </c>
    </row>
    <row r="180" spans="1:7" s="1" customFormat="1" x14ac:dyDescent="0.25">
      <c r="A180" s="80" t="s">
        <v>24</v>
      </c>
      <c r="B180" s="34" t="s">
        <v>0</v>
      </c>
      <c r="C180" s="79" t="s">
        <v>31</v>
      </c>
      <c r="D180" s="80"/>
      <c r="E180" s="23"/>
      <c r="F180" s="23">
        <v>282062.99</v>
      </c>
      <c r="G180" s="23">
        <f t="shared" si="7"/>
        <v>282062.99</v>
      </c>
    </row>
    <row r="181" spans="1:7" x14ac:dyDescent="0.25">
      <c r="A181" s="253" t="s">
        <v>22</v>
      </c>
      <c r="B181" s="253"/>
      <c r="C181" s="253"/>
      <c r="D181" s="16"/>
      <c r="E181" s="17">
        <f>SUM(E175:E180)</f>
        <v>0</v>
      </c>
      <c r="F181" s="17">
        <f>SUM(F175:F180)</f>
        <v>446089.62</v>
      </c>
      <c r="G181" s="18">
        <f>SUM(G174:G180)</f>
        <v>446089.62</v>
      </c>
    </row>
    <row r="182" spans="1:7" x14ac:dyDescent="0.25">
      <c r="A182" s="15">
        <v>4</v>
      </c>
      <c r="B182" s="254" t="s">
        <v>83</v>
      </c>
      <c r="C182" s="254"/>
      <c r="D182" s="254"/>
      <c r="E182" s="254"/>
      <c r="F182" s="254"/>
      <c r="G182" s="254"/>
    </row>
    <row r="183" spans="1:7" x14ac:dyDescent="0.25">
      <c r="A183" s="253" t="s">
        <v>22</v>
      </c>
      <c r="B183" s="253"/>
      <c r="C183" s="253"/>
      <c r="D183" s="16"/>
      <c r="E183" s="17">
        <v>0</v>
      </c>
      <c r="F183" s="17">
        <v>0</v>
      </c>
      <c r="G183" s="18">
        <v>0</v>
      </c>
    </row>
    <row r="184" spans="1:7" x14ac:dyDescent="0.25">
      <c r="A184" s="15">
        <v>5</v>
      </c>
      <c r="B184" s="63" t="s">
        <v>84</v>
      </c>
      <c r="C184" s="63"/>
      <c r="D184" s="15" t="s">
        <v>26</v>
      </c>
      <c r="E184" s="36"/>
      <c r="F184" s="37"/>
      <c r="G184" s="38">
        <f>SUM(E184:F184)</f>
        <v>0</v>
      </c>
    </row>
    <row r="185" spans="1:7" x14ac:dyDescent="0.25">
      <c r="A185" s="67" t="s">
        <v>32</v>
      </c>
      <c r="B185" s="34" t="s">
        <v>3</v>
      </c>
      <c r="C185" s="66" t="s">
        <v>19</v>
      </c>
      <c r="D185" s="67"/>
      <c r="E185" s="23">
        <v>0</v>
      </c>
      <c r="F185" s="23">
        <v>30290.74</v>
      </c>
      <c r="G185" s="23">
        <f>SUM(E185:F185)</f>
        <v>30290.74</v>
      </c>
    </row>
    <row r="186" spans="1:7" x14ac:dyDescent="0.25">
      <c r="A186" s="253" t="s">
        <v>22</v>
      </c>
      <c r="B186" s="253"/>
      <c r="C186" s="253"/>
      <c r="D186" s="16"/>
      <c r="E186" s="17">
        <f>E185</f>
        <v>0</v>
      </c>
      <c r="F186" s="17">
        <f>F185</f>
        <v>30290.74</v>
      </c>
      <c r="G186" s="18">
        <f>E186+F186</f>
        <v>30290.74</v>
      </c>
    </row>
    <row r="187" spans="1:7" x14ac:dyDescent="0.25">
      <c r="A187" s="255" t="s">
        <v>1</v>
      </c>
      <c r="B187" s="255"/>
      <c r="C187" s="255"/>
      <c r="D187" s="255"/>
      <c r="E187" s="39">
        <f>E171+E173+E181+E186</f>
        <v>0</v>
      </c>
      <c r="F187" s="40">
        <f>F181+F186+F173+F171</f>
        <v>476380.36</v>
      </c>
      <c r="G187" s="39">
        <f>E187+F187</f>
        <v>476380.36</v>
      </c>
    </row>
    <row r="188" spans="1:7" x14ac:dyDescent="0.25">
      <c r="A188" s="266" t="s">
        <v>33</v>
      </c>
      <c r="B188" s="266"/>
      <c r="C188" s="266"/>
      <c r="D188" s="266"/>
      <c r="E188" s="266"/>
      <c r="F188" s="266"/>
      <c r="G188" s="266"/>
    </row>
    <row r="189" spans="1:7" x14ac:dyDescent="0.25">
      <c r="A189" s="12"/>
      <c r="B189" s="12"/>
      <c r="C189" s="11"/>
      <c r="D189" s="12"/>
      <c r="E189" s="12"/>
      <c r="F189" s="12"/>
      <c r="G189" s="12"/>
    </row>
    <row r="190" spans="1:7" x14ac:dyDescent="0.25">
      <c r="A190" s="258" t="s">
        <v>128</v>
      </c>
      <c r="B190" s="258"/>
      <c r="C190" s="258"/>
      <c r="D190" s="258"/>
      <c r="E190" s="258"/>
      <c r="F190" s="258"/>
      <c r="G190" s="258"/>
    </row>
    <row r="191" spans="1:7" ht="38.25" x14ac:dyDescent="0.25">
      <c r="A191" s="13" t="s">
        <v>27</v>
      </c>
      <c r="B191" s="13" t="s">
        <v>28</v>
      </c>
      <c r="C191" s="13" t="s">
        <v>29</v>
      </c>
      <c r="D191" s="13" t="s">
        <v>2</v>
      </c>
      <c r="E191" s="14" t="s">
        <v>117</v>
      </c>
      <c r="F191" s="14" t="s">
        <v>118</v>
      </c>
      <c r="G191" s="14" t="s">
        <v>119</v>
      </c>
    </row>
    <row r="192" spans="1:7" x14ac:dyDescent="0.25">
      <c r="A192" s="15">
        <v>1</v>
      </c>
      <c r="B192" s="254" t="s">
        <v>80</v>
      </c>
      <c r="C192" s="254"/>
      <c r="D192" s="254"/>
      <c r="E192" s="254"/>
      <c r="F192" s="254"/>
      <c r="G192" s="254"/>
    </row>
    <row r="193" spans="1:7" x14ac:dyDescent="0.25">
      <c r="A193" s="253" t="s">
        <v>22</v>
      </c>
      <c r="B193" s="253"/>
      <c r="C193" s="253"/>
      <c r="D193" s="16"/>
      <c r="E193" s="17">
        <f>0</f>
        <v>0</v>
      </c>
      <c r="F193" s="17">
        <v>0</v>
      </c>
      <c r="G193" s="18">
        <v>0</v>
      </c>
    </row>
    <row r="194" spans="1:7" x14ac:dyDescent="0.25">
      <c r="A194" s="15">
        <v>2</v>
      </c>
      <c r="B194" s="254" t="s">
        <v>81</v>
      </c>
      <c r="C194" s="254"/>
      <c r="D194" s="254"/>
      <c r="E194" s="254"/>
      <c r="F194" s="254"/>
      <c r="G194" s="254"/>
    </row>
    <row r="195" spans="1:7" x14ac:dyDescent="0.25">
      <c r="A195" s="253" t="s">
        <v>22</v>
      </c>
      <c r="B195" s="253"/>
      <c r="C195" s="253"/>
      <c r="D195" s="16"/>
      <c r="E195" s="19">
        <f>0</f>
        <v>0</v>
      </c>
      <c r="F195" s="19">
        <f>0</f>
        <v>0</v>
      </c>
      <c r="G195" s="20">
        <f>G194</f>
        <v>0</v>
      </c>
    </row>
    <row r="196" spans="1:7" x14ac:dyDescent="0.25">
      <c r="A196" s="15">
        <v>3</v>
      </c>
      <c r="B196" s="254" t="s">
        <v>82</v>
      </c>
      <c r="C196" s="254"/>
      <c r="D196" s="254"/>
      <c r="E196" s="254"/>
      <c r="F196" s="254"/>
      <c r="G196" s="254"/>
    </row>
    <row r="197" spans="1:7" x14ac:dyDescent="0.25">
      <c r="A197" s="64" t="s">
        <v>4</v>
      </c>
      <c r="B197" s="78" t="s">
        <v>112</v>
      </c>
      <c r="C197" s="78" t="s">
        <v>113</v>
      </c>
      <c r="D197" s="64" t="s">
        <v>17</v>
      </c>
      <c r="E197" s="28">
        <v>0</v>
      </c>
      <c r="F197" s="28">
        <v>20470</v>
      </c>
      <c r="G197" s="28">
        <f>SUM(E197:F197)</f>
        <v>20470</v>
      </c>
    </row>
    <row r="198" spans="1:7" x14ac:dyDescent="0.25">
      <c r="A198" s="67" t="s">
        <v>5</v>
      </c>
      <c r="B198" s="34" t="s">
        <v>51</v>
      </c>
      <c r="C198" s="66" t="s">
        <v>86</v>
      </c>
      <c r="D198" s="67" t="s">
        <v>12</v>
      </c>
      <c r="E198" s="23">
        <v>0</v>
      </c>
      <c r="F198" s="23">
        <v>80899.48</v>
      </c>
      <c r="G198" s="23">
        <f t="shared" ref="G198:G203" si="8">SUM(E198:F198)</f>
        <v>80899.48</v>
      </c>
    </row>
    <row r="199" spans="1:7" x14ac:dyDescent="0.25">
      <c r="A199" s="256" t="s">
        <v>6</v>
      </c>
      <c r="B199" s="257" t="s">
        <v>10</v>
      </c>
      <c r="C199" s="65" t="s">
        <v>11</v>
      </c>
      <c r="D199" s="64" t="s">
        <v>20</v>
      </c>
      <c r="E199" s="28">
        <v>0</v>
      </c>
      <c r="F199" s="28">
        <v>42836.7</v>
      </c>
      <c r="G199" s="28">
        <f t="shared" si="8"/>
        <v>42836.7</v>
      </c>
    </row>
    <row r="200" spans="1:7" x14ac:dyDescent="0.25">
      <c r="A200" s="256"/>
      <c r="B200" s="257"/>
      <c r="C200" s="65" t="s">
        <v>86</v>
      </c>
      <c r="D200" s="64"/>
      <c r="E200" s="28">
        <v>0</v>
      </c>
      <c r="F200" s="28">
        <v>21213.47</v>
      </c>
      <c r="G200" s="28">
        <f t="shared" si="8"/>
        <v>21213.47</v>
      </c>
    </row>
    <row r="201" spans="1:7" x14ac:dyDescent="0.25">
      <c r="A201" s="67" t="s">
        <v>18</v>
      </c>
      <c r="B201" s="34" t="s">
        <v>13</v>
      </c>
      <c r="C201" s="79" t="s">
        <v>14</v>
      </c>
      <c r="D201" s="80" t="s">
        <v>21</v>
      </c>
      <c r="E201" s="23">
        <v>0</v>
      </c>
      <c r="F201" s="23">
        <f>3845.1+11610.3</f>
        <v>15455.4</v>
      </c>
      <c r="G201" s="23">
        <f t="shared" si="8"/>
        <v>15455.4</v>
      </c>
    </row>
    <row r="202" spans="1:7" x14ac:dyDescent="0.25">
      <c r="A202" s="64" t="s">
        <v>23</v>
      </c>
      <c r="B202" s="33" t="s">
        <v>0</v>
      </c>
      <c r="C202" s="65" t="s">
        <v>31</v>
      </c>
      <c r="D202" s="64"/>
      <c r="E202" s="28">
        <v>0</v>
      </c>
      <c r="F202" s="28">
        <v>286899.92</v>
      </c>
      <c r="G202" s="28">
        <f t="shared" si="8"/>
        <v>286899.92</v>
      </c>
    </row>
    <row r="203" spans="1:7" x14ac:dyDescent="0.25">
      <c r="A203" s="67" t="s">
        <v>25</v>
      </c>
      <c r="B203" s="34" t="s">
        <v>132</v>
      </c>
      <c r="C203" s="79" t="s">
        <v>133</v>
      </c>
      <c r="D203" s="80"/>
      <c r="E203" s="23">
        <v>0</v>
      </c>
      <c r="F203" s="23">
        <v>22871.279999999999</v>
      </c>
      <c r="G203" s="23">
        <f t="shared" si="8"/>
        <v>22871.279999999999</v>
      </c>
    </row>
    <row r="204" spans="1:7" x14ac:dyDescent="0.25">
      <c r="A204" s="253" t="s">
        <v>22</v>
      </c>
      <c r="B204" s="253"/>
      <c r="C204" s="253"/>
      <c r="D204" s="16"/>
      <c r="E204" s="17">
        <f>SUM(E197:E203)</f>
        <v>0</v>
      </c>
      <c r="F204" s="17">
        <f>SUM(F197:F203)</f>
        <v>490646.25</v>
      </c>
      <c r="G204" s="18">
        <f>SUM(G196:G203)</f>
        <v>490646.25</v>
      </c>
    </row>
    <row r="205" spans="1:7" x14ac:dyDescent="0.25">
      <c r="A205" s="15">
        <v>4</v>
      </c>
      <c r="B205" s="254" t="s">
        <v>83</v>
      </c>
      <c r="C205" s="254"/>
      <c r="D205" s="254"/>
      <c r="E205" s="254"/>
      <c r="F205" s="254"/>
      <c r="G205" s="254"/>
    </row>
    <row r="206" spans="1:7" x14ac:dyDescent="0.25">
      <c r="A206" s="253" t="s">
        <v>22</v>
      </c>
      <c r="B206" s="253"/>
      <c r="C206" s="253"/>
      <c r="D206" s="16"/>
      <c r="E206" s="17">
        <v>0</v>
      </c>
      <c r="F206" s="17">
        <v>0</v>
      </c>
      <c r="G206" s="18">
        <v>0</v>
      </c>
    </row>
    <row r="207" spans="1:7" x14ac:dyDescent="0.25">
      <c r="A207" s="15">
        <v>5</v>
      </c>
      <c r="B207" s="63" t="s">
        <v>84</v>
      </c>
      <c r="C207" s="63"/>
      <c r="D207" s="15" t="s">
        <v>26</v>
      </c>
      <c r="E207" s="36"/>
      <c r="F207" s="37"/>
      <c r="G207" s="38">
        <f>SUM(E207:F207)</f>
        <v>0</v>
      </c>
    </row>
    <row r="208" spans="1:7" x14ac:dyDescent="0.25">
      <c r="A208" s="67" t="s">
        <v>32</v>
      </c>
      <c r="B208" s="34" t="s">
        <v>3</v>
      </c>
      <c r="C208" s="66" t="s">
        <v>19</v>
      </c>
      <c r="D208" s="67"/>
      <c r="E208" s="23">
        <v>0</v>
      </c>
      <c r="F208" s="23">
        <v>31226.98</v>
      </c>
      <c r="G208" s="23">
        <f>SUM(E208:F208)</f>
        <v>31226.98</v>
      </c>
    </row>
    <row r="209" spans="1:7" x14ac:dyDescent="0.25">
      <c r="A209" s="253" t="s">
        <v>22</v>
      </c>
      <c r="B209" s="253"/>
      <c r="C209" s="253"/>
      <c r="D209" s="16"/>
      <c r="E209" s="17">
        <f>E208</f>
        <v>0</v>
      </c>
      <c r="F209" s="17">
        <f>F208</f>
        <v>31226.98</v>
      </c>
      <c r="G209" s="18">
        <f>E209+F209</f>
        <v>31226.98</v>
      </c>
    </row>
    <row r="210" spans="1:7" x14ac:dyDescent="0.25">
      <c r="A210" s="255" t="s">
        <v>1</v>
      </c>
      <c r="B210" s="255"/>
      <c r="C210" s="255"/>
      <c r="D210" s="255"/>
      <c r="E210" s="39">
        <f>E193+E195+E204+E209</f>
        <v>0</v>
      </c>
      <c r="F210" s="40">
        <f>F204+F209+F195+F193</f>
        <v>521873.23</v>
      </c>
      <c r="G210" s="39">
        <f>E210+F210</f>
        <v>521873.23</v>
      </c>
    </row>
    <row r="211" spans="1:7" x14ac:dyDescent="0.25">
      <c r="A211" s="266" t="s">
        <v>33</v>
      </c>
      <c r="B211" s="266"/>
      <c r="C211" s="266"/>
      <c r="D211" s="266"/>
      <c r="E211" s="266"/>
      <c r="F211" s="266"/>
      <c r="G211" s="266"/>
    </row>
    <row r="212" spans="1:7" x14ac:dyDescent="0.25">
      <c r="A212" s="12"/>
      <c r="B212" s="12"/>
      <c r="C212" s="11"/>
      <c r="D212" s="12"/>
      <c r="E212" s="12"/>
      <c r="F212" s="12"/>
      <c r="G212" s="12"/>
    </row>
    <row r="213" spans="1:7" x14ac:dyDescent="0.25">
      <c r="A213" s="258" t="s">
        <v>129</v>
      </c>
      <c r="B213" s="258"/>
      <c r="C213" s="258"/>
      <c r="D213" s="258"/>
      <c r="E213" s="258"/>
      <c r="F213" s="258"/>
      <c r="G213" s="258"/>
    </row>
    <row r="214" spans="1:7" ht="38.25" x14ac:dyDescent="0.25">
      <c r="A214" s="13" t="s">
        <v>27</v>
      </c>
      <c r="B214" s="13" t="s">
        <v>28</v>
      </c>
      <c r="C214" s="13" t="s">
        <v>29</v>
      </c>
      <c r="D214" s="13" t="s">
        <v>2</v>
      </c>
      <c r="E214" s="14" t="s">
        <v>117</v>
      </c>
      <c r="F214" s="14" t="s">
        <v>118</v>
      </c>
      <c r="G214" s="14" t="s">
        <v>119</v>
      </c>
    </row>
    <row r="215" spans="1:7" x14ac:dyDescent="0.25">
      <c r="A215" s="15">
        <v>1</v>
      </c>
      <c r="B215" s="254" t="s">
        <v>80</v>
      </c>
      <c r="C215" s="254"/>
      <c r="D215" s="254"/>
      <c r="E215" s="254"/>
      <c r="F215" s="254"/>
      <c r="G215" s="254"/>
    </row>
    <row r="216" spans="1:7" x14ac:dyDescent="0.25">
      <c r="A216" s="253" t="s">
        <v>22</v>
      </c>
      <c r="B216" s="253"/>
      <c r="C216" s="253"/>
      <c r="D216" s="16"/>
      <c r="E216" s="17">
        <v>0</v>
      </c>
      <c r="F216" s="17">
        <v>0</v>
      </c>
      <c r="G216" s="18">
        <v>0</v>
      </c>
    </row>
    <row r="217" spans="1:7" x14ac:dyDescent="0.25">
      <c r="A217" s="15">
        <v>2</v>
      </c>
      <c r="B217" s="254" t="s">
        <v>81</v>
      </c>
      <c r="C217" s="254"/>
      <c r="D217" s="254"/>
      <c r="E217" s="254"/>
      <c r="F217" s="254"/>
      <c r="G217" s="254"/>
    </row>
    <row r="218" spans="1:7" x14ac:dyDescent="0.25">
      <c r="A218" s="253" t="s">
        <v>22</v>
      </c>
      <c r="B218" s="253"/>
      <c r="C218" s="253"/>
      <c r="D218" s="16"/>
      <c r="E218" s="19">
        <f>0</f>
        <v>0</v>
      </c>
      <c r="F218" s="19">
        <f>0</f>
        <v>0</v>
      </c>
      <c r="G218" s="20">
        <f>G217</f>
        <v>0</v>
      </c>
    </row>
    <row r="219" spans="1:7" x14ac:dyDescent="0.25">
      <c r="A219" s="15">
        <v>3</v>
      </c>
      <c r="B219" s="254" t="s">
        <v>82</v>
      </c>
      <c r="C219" s="254"/>
      <c r="D219" s="254"/>
      <c r="E219" s="254"/>
      <c r="F219" s="254"/>
      <c r="G219" s="254"/>
    </row>
    <row r="220" spans="1:7" x14ac:dyDescent="0.25">
      <c r="A220" s="80" t="s">
        <v>4</v>
      </c>
      <c r="B220" s="34" t="s">
        <v>51</v>
      </c>
      <c r="C220" s="79" t="s">
        <v>86</v>
      </c>
      <c r="D220" s="80" t="s">
        <v>12</v>
      </c>
      <c r="E220" s="23">
        <v>0</v>
      </c>
      <c r="F220" s="23">
        <v>80899.48</v>
      </c>
      <c r="G220" s="23">
        <f>SUM(E220:F220)</f>
        <v>80899.48</v>
      </c>
    </row>
    <row r="221" spans="1:7" x14ac:dyDescent="0.25">
      <c r="A221" s="256" t="s">
        <v>5</v>
      </c>
      <c r="B221" s="257" t="s">
        <v>10</v>
      </c>
      <c r="C221" s="65" t="s">
        <v>11</v>
      </c>
      <c r="D221" s="64" t="s">
        <v>20</v>
      </c>
      <c r="E221" s="28">
        <v>0</v>
      </c>
      <c r="F221" s="28">
        <v>0</v>
      </c>
      <c r="G221" s="28">
        <f t="shared" ref="G221:G225" si="9">SUM(E221:F221)</f>
        <v>0</v>
      </c>
    </row>
    <row r="222" spans="1:7" x14ac:dyDescent="0.25">
      <c r="A222" s="256"/>
      <c r="B222" s="257"/>
      <c r="C222" s="65" t="s">
        <v>86</v>
      </c>
      <c r="D222" s="64"/>
      <c r="E222" s="28">
        <v>0</v>
      </c>
      <c r="F222" s="28">
        <v>21213.47</v>
      </c>
      <c r="G222" s="28">
        <f t="shared" si="9"/>
        <v>21213.47</v>
      </c>
    </row>
    <row r="223" spans="1:7" x14ac:dyDescent="0.25">
      <c r="A223" s="80" t="s">
        <v>6</v>
      </c>
      <c r="B223" s="34" t="s">
        <v>132</v>
      </c>
      <c r="C223" s="79" t="s">
        <v>133</v>
      </c>
      <c r="D223" s="80" t="s">
        <v>21</v>
      </c>
      <c r="E223" s="23">
        <v>0</v>
      </c>
      <c r="F223" s="23">
        <v>22871.279999999999</v>
      </c>
      <c r="G223" s="23">
        <f t="shared" si="9"/>
        <v>22871.279999999999</v>
      </c>
    </row>
    <row r="224" spans="1:7" x14ac:dyDescent="0.25">
      <c r="A224" s="77" t="s">
        <v>18</v>
      </c>
      <c r="B224" s="33" t="s">
        <v>0</v>
      </c>
      <c r="C224" s="65" t="s">
        <v>31</v>
      </c>
      <c r="D224" s="64"/>
      <c r="E224" s="28">
        <v>0</v>
      </c>
      <c r="F224" s="28">
        <v>286244.7</v>
      </c>
      <c r="G224" s="28">
        <f t="shared" si="9"/>
        <v>286244.7</v>
      </c>
    </row>
    <row r="225" spans="1:7" s="1" customFormat="1" x14ac:dyDescent="0.25">
      <c r="A225" s="80" t="s">
        <v>23</v>
      </c>
      <c r="B225" s="34" t="s">
        <v>13</v>
      </c>
      <c r="C225" s="79" t="s">
        <v>14</v>
      </c>
      <c r="D225" s="80"/>
      <c r="E225" s="23">
        <v>0</v>
      </c>
      <c r="F225" s="23">
        <v>14059</v>
      </c>
      <c r="G225" s="23">
        <f t="shared" si="9"/>
        <v>14059</v>
      </c>
    </row>
    <row r="226" spans="1:7" x14ac:dyDescent="0.25">
      <c r="A226" s="253" t="s">
        <v>22</v>
      </c>
      <c r="B226" s="253"/>
      <c r="C226" s="253"/>
      <c r="D226" s="16"/>
      <c r="E226" s="17">
        <f>SUM(E220:E225)</f>
        <v>0</v>
      </c>
      <c r="F226" s="17">
        <f>SUM(F220:F225)</f>
        <v>425287.93</v>
      </c>
      <c r="G226" s="18">
        <f>SUM(G219:G225)</f>
        <v>425287.93</v>
      </c>
    </row>
    <row r="227" spans="1:7" x14ac:dyDescent="0.25">
      <c r="A227" s="15">
        <v>4</v>
      </c>
      <c r="B227" s="254" t="s">
        <v>83</v>
      </c>
      <c r="C227" s="254"/>
      <c r="D227" s="254"/>
      <c r="E227" s="254"/>
      <c r="F227" s="254"/>
      <c r="G227" s="254"/>
    </row>
    <row r="228" spans="1:7" x14ac:dyDescent="0.25">
      <c r="A228" s="253" t="s">
        <v>22</v>
      </c>
      <c r="B228" s="253"/>
      <c r="C228" s="253"/>
      <c r="D228" s="16"/>
      <c r="E228" s="17">
        <v>0</v>
      </c>
      <c r="F228" s="17">
        <v>0</v>
      </c>
      <c r="G228" s="18">
        <v>0</v>
      </c>
    </row>
    <row r="229" spans="1:7" x14ac:dyDescent="0.25">
      <c r="A229" s="15">
        <v>5</v>
      </c>
      <c r="B229" s="63" t="s">
        <v>84</v>
      </c>
      <c r="C229" s="63"/>
      <c r="D229" s="15" t="s">
        <v>26</v>
      </c>
      <c r="E229" s="36"/>
      <c r="F229" s="37"/>
      <c r="G229" s="38">
        <f>SUM(E229:F229)</f>
        <v>0</v>
      </c>
    </row>
    <row r="230" spans="1:7" x14ac:dyDescent="0.25">
      <c r="A230" s="67" t="s">
        <v>32</v>
      </c>
      <c r="B230" s="34" t="s">
        <v>3</v>
      </c>
      <c r="C230" s="66" t="s">
        <v>19</v>
      </c>
      <c r="D230" s="67"/>
      <c r="E230" s="23">
        <v>0</v>
      </c>
      <c r="F230" s="23">
        <v>28899.26</v>
      </c>
      <c r="G230" s="23">
        <f>SUM(E230:F230)</f>
        <v>28899.26</v>
      </c>
    </row>
    <row r="231" spans="1:7" x14ac:dyDescent="0.25">
      <c r="A231" s="253" t="s">
        <v>22</v>
      </c>
      <c r="B231" s="253"/>
      <c r="C231" s="253"/>
      <c r="D231" s="16"/>
      <c r="E231" s="17">
        <f>E230</f>
        <v>0</v>
      </c>
      <c r="F231" s="17">
        <f>F230</f>
        <v>28899.26</v>
      </c>
      <c r="G231" s="18">
        <f>E231+F231</f>
        <v>28899.26</v>
      </c>
    </row>
    <row r="232" spans="1:7" x14ac:dyDescent="0.25">
      <c r="A232" s="255" t="s">
        <v>1</v>
      </c>
      <c r="B232" s="255"/>
      <c r="C232" s="255"/>
      <c r="D232" s="255"/>
      <c r="E232" s="39">
        <f>E216+E218+E226+E231</f>
        <v>0</v>
      </c>
      <c r="F232" s="40">
        <f>F226+F231+F218+F216+F228</f>
        <v>454187.19</v>
      </c>
      <c r="G232" s="39">
        <f>E232+F232</f>
        <v>454187.19</v>
      </c>
    </row>
    <row r="233" spans="1:7" x14ac:dyDescent="0.25">
      <c r="A233" s="266" t="s">
        <v>33</v>
      </c>
      <c r="B233" s="266"/>
      <c r="C233" s="266"/>
      <c r="D233" s="266"/>
      <c r="E233" s="266"/>
      <c r="F233" s="266"/>
      <c r="G233" s="266"/>
    </row>
    <row r="234" spans="1:7" x14ac:dyDescent="0.25">
      <c r="A234" s="12"/>
      <c r="B234" s="12"/>
      <c r="C234" s="11"/>
      <c r="D234" s="12"/>
      <c r="E234" s="12"/>
      <c r="F234" s="12"/>
      <c r="G234" s="12"/>
    </row>
    <row r="235" spans="1:7" x14ac:dyDescent="0.25">
      <c r="A235" s="258" t="s">
        <v>130</v>
      </c>
      <c r="B235" s="258"/>
      <c r="C235" s="258"/>
      <c r="D235" s="258"/>
      <c r="E235" s="258"/>
      <c r="F235" s="258"/>
      <c r="G235" s="258"/>
    </row>
    <row r="236" spans="1:7" ht="38.25" x14ac:dyDescent="0.25">
      <c r="A236" s="13" t="s">
        <v>27</v>
      </c>
      <c r="B236" s="13" t="s">
        <v>28</v>
      </c>
      <c r="C236" s="13" t="s">
        <v>29</v>
      </c>
      <c r="D236" s="13" t="s">
        <v>2</v>
      </c>
      <c r="E236" s="14" t="s">
        <v>117</v>
      </c>
      <c r="F236" s="14" t="s">
        <v>118</v>
      </c>
      <c r="G236" s="14" t="s">
        <v>119</v>
      </c>
    </row>
    <row r="237" spans="1:7" x14ac:dyDescent="0.25">
      <c r="A237" s="15">
        <v>1</v>
      </c>
      <c r="B237" s="254" t="s">
        <v>80</v>
      </c>
      <c r="C237" s="254"/>
      <c r="D237" s="254"/>
      <c r="E237" s="254"/>
      <c r="F237" s="254"/>
      <c r="G237" s="254"/>
    </row>
    <row r="238" spans="1:7" s="1" customFormat="1" x14ac:dyDescent="0.25">
      <c r="A238" s="50" t="s">
        <v>48</v>
      </c>
      <c r="B238" s="78" t="s">
        <v>142</v>
      </c>
      <c r="C238" s="78" t="s">
        <v>143</v>
      </c>
      <c r="D238" s="50"/>
      <c r="E238" s="53">
        <v>0</v>
      </c>
      <c r="F238" s="53">
        <v>32320</v>
      </c>
      <c r="G238" s="53">
        <f>SUM(E238:F238)</f>
        <v>32320</v>
      </c>
    </row>
    <row r="239" spans="1:7" x14ac:dyDescent="0.25">
      <c r="A239" s="253" t="s">
        <v>22</v>
      </c>
      <c r="B239" s="253"/>
      <c r="C239" s="253"/>
      <c r="D239" s="16"/>
      <c r="E239" s="17">
        <f>0</f>
        <v>0</v>
      </c>
      <c r="F239" s="17">
        <f>F238</f>
        <v>32320</v>
      </c>
      <c r="G239" s="18">
        <f>G238</f>
        <v>32320</v>
      </c>
    </row>
    <row r="240" spans="1:7" x14ac:dyDescent="0.25">
      <c r="A240" s="15">
        <v>2</v>
      </c>
      <c r="B240" s="254" t="s">
        <v>81</v>
      </c>
      <c r="C240" s="254"/>
      <c r="D240" s="254"/>
      <c r="E240" s="254"/>
      <c r="F240" s="254"/>
      <c r="G240" s="254"/>
    </row>
    <row r="241" spans="1:7" x14ac:dyDescent="0.25">
      <c r="A241" s="253" t="s">
        <v>22</v>
      </c>
      <c r="B241" s="253"/>
      <c r="C241" s="253"/>
      <c r="D241" s="16"/>
      <c r="E241" s="19">
        <f>0</f>
        <v>0</v>
      </c>
      <c r="F241" s="19">
        <f>0</f>
        <v>0</v>
      </c>
      <c r="G241" s="20">
        <f>G240</f>
        <v>0</v>
      </c>
    </row>
    <row r="242" spans="1:7" x14ac:dyDescent="0.25">
      <c r="A242" s="15">
        <v>3</v>
      </c>
      <c r="B242" s="254" t="s">
        <v>82</v>
      </c>
      <c r="C242" s="254"/>
      <c r="D242" s="254"/>
      <c r="E242" s="254"/>
      <c r="F242" s="254"/>
      <c r="G242" s="254"/>
    </row>
    <row r="243" spans="1:7" x14ac:dyDescent="0.25">
      <c r="A243" s="80" t="s">
        <v>4</v>
      </c>
      <c r="B243" s="34" t="s">
        <v>51</v>
      </c>
      <c r="C243" s="66" t="s">
        <v>86</v>
      </c>
      <c r="D243" s="67" t="s">
        <v>12</v>
      </c>
      <c r="E243" s="23">
        <v>0</v>
      </c>
      <c r="F243" s="23">
        <v>80899.48</v>
      </c>
      <c r="G243" s="23">
        <f>SUM(E243:F243)</f>
        <v>80899.48</v>
      </c>
    </row>
    <row r="244" spans="1:7" x14ac:dyDescent="0.25">
      <c r="A244" s="77" t="s">
        <v>5</v>
      </c>
      <c r="B244" s="78" t="s">
        <v>10</v>
      </c>
      <c r="C244" s="65" t="s">
        <v>11</v>
      </c>
      <c r="D244" s="64" t="s">
        <v>20</v>
      </c>
      <c r="E244" s="23">
        <v>0</v>
      </c>
      <c r="F244" s="23">
        <v>27766.34</v>
      </c>
      <c r="G244" s="23">
        <f t="shared" ref="G244:G247" si="10">SUM(E244:F244)</f>
        <v>27766.34</v>
      </c>
    </row>
    <row r="245" spans="1:7" x14ac:dyDescent="0.25">
      <c r="A245" s="80" t="s">
        <v>6</v>
      </c>
      <c r="B245" s="34" t="s">
        <v>132</v>
      </c>
      <c r="C245" s="79" t="s">
        <v>133</v>
      </c>
      <c r="D245" s="67" t="s">
        <v>21</v>
      </c>
      <c r="E245" s="23">
        <v>0</v>
      </c>
      <c r="F245" s="23">
        <v>22871.279999999999</v>
      </c>
      <c r="G245" s="23">
        <f t="shared" si="10"/>
        <v>22871.279999999999</v>
      </c>
    </row>
    <row r="246" spans="1:7" x14ac:dyDescent="0.25">
      <c r="A246" s="77" t="s">
        <v>18</v>
      </c>
      <c r="B246" s="33" t="s">
        <v>74</v>
      </c>
      <c r="C246" s="65" t="s">
        <v>31</v>
      </c>
      <c r="D246" s="64"/>
      <c r="E246" s="23">
        <v>0</v>
      </c>
      <c r="F246" s="23">
        <v>543015.22</v>
      </c>
      <c r="G246" s="23">
        <f t="shared" si="10"/>
        <v>543015.22</v>
      </c>
    </row>
    <row r="247" spans="1:7" s="1" customFormat="1" x14ac:dyDescent="0.25">
      <c r="A247" s="80" t="s">
        <v>23</v>
      </c>
      <c r="B247" s="34" t="s">
        <v>13</v>
      </c>
      <c r="C247" s="79" t="s">
        <v>14</v>
      </c>
      <c r="D247" s="80"/>
      <c r="E247" s="23">
        <v>0</v>
      </c>
      <c r="F247" s="23">
        <v>14144.24</v>
      </c>
      <c r="G247" s="23">
        <f t="shared" si="10"/>
        <v>14144.24</v>
      </c>
    </row>
    <row r="248" spans="1:7" x14ac:dyDescent="0.25">
      <c r="A248" s="253" t="s">
        <v>22</v>
      </c>
      <c r="B248" s="253"/>
      <c r="C248" s="253"/>
      <c r="D248" s="16"/>
      <c r="E248" s="17">
        <f>SUM(E243:E246)</f>
        <v>0</v>
      </c>
      <c r="F248" s="17">
        <f>SUM(F243:F247)</f>
        <v>688696.55999999994</v>
      </c>
      <c r="G248" s="18">
        <f>SUM(G242:G247)</f>
        <v>688696.55999999994</v>
      </c>
    </row>
    <row r="249" spans="1:7" x14ac:dyDescent="0.25">
      <c r="A249" s="15">
        <v>4</v>
      </c>
      <c r="B249" s="254" t="s">
        <v>83</v>
      </c>
      <c r="C249" s="254"/>
      <c r="D249" s="254"/>
      <c r="E249" s="254"/>
      <c r="F249" s="254"/>
      <c r="G249" s="254"/>
    </row>
    <row r="250" spans="1:7" x14ac:dyDescent="0.25">
      <c r="A250" s="253" t="s">
        <v>22</v>
      </c>
      <c r="B250" s="253"/>
      <c r="C250" s="253"/>
      <c r="D250" s="16"/>
      <c r="E250" s="17">
        <v>0</v>
      </c>
      <c r="F250" s="17">
        <v>0</v>
      </c>
      <c r="G250" s="18">
        <v>0</v>
      </c>
    </row>
    <row r="251" spans="1:7" x14ac:dyDescent="0.25">
      <c r="A251" s="15">
        <v>5</v>
      </c>
      <c r="B251" s="63" t="s">
        <v>84</v>
      </c>
      <c r="C251" s="63"/>
      <c r="D251" s="15" t="s">
        <v>26</v>
      </c>
      <c r="E251" s="36"/>
      <c r="F251" s="37"/>
      <c r="G251" s="38">
        <f>SUM(E251:F251)</f>
        <v>0</v>
      </c>
    </row>
    <row r="252" spans="1:7" x14ac:dyDescent="0.25">
      <c r="A252" s="67" t="s">
        <v>32</v>
      </c>
      <c r="B252" s="34" t="s">
        <v>3</v>
      </c>
      <c r="C252" s="66" t="s">
        <v>19</v>
      </c>
      <c r="D252" s="67"/>
      <c r="E252" s="23">
        <v>0</v>
      </c>
      <c r="F252" s="23">
        <v>27797.89</v>
      </c>
      <c r="G252" s="23">
        <f>SUM(E252:F252)</f>
        <v>27797.89</v>
      </c>
    </row>
    <row r="253" spans="1:7" x14ac:dyDescent="0.25">
      <c r="A253" s="253" t="s">
        <v>22</v>
      </c>
      <c r="B253" s="253"/>
      <c r="C253" s="253"/>
      <c r="D253" s="16"/>
      <c r="E253" s="17">
        <f>E252</f>
        <v>0</v>
      </c>
      <c r="F253" s="17">
        <f>F252</f>
        <v>27797.89</v>
      </c>
      <c r="G253" s="18">
        <f>E253+F253</f>
        <v>27797.89</v>
      </c>
    </row>
    <row r="254" spans="1:7" x14ac:dyDescent="0.25">
      <c r="A254" s="255" t="s">
        <v>1</v>
      </c>
      <c r="B254" s="255"/>
      <c r="C254" s="255"/>
      <c r="D254" s="255"/>
      <c r="E254" s="39">
        <f>E239+E241+E248+E253</f>
        <v>0</v>
      </c>
      <c r="F254" s="40">
        <f>F248+F253+F241+F239+F250</f>
        <v>748814.45</v>
      </c>
      <c r="G254" s="39">
        <f>E254+F254</f>
        <v>748814.45</v>
      </c>
    </row>
    <row r="255" spans="1:7" x14ac:dyDescent="0.25">
      <c r="A255" s="266" t="s">
        <v>33</v>
      </c>
      <c r="B255" s="266"/>
      <c r="C255" s="266"/>
      <c r="D255" s="266"/>
      <c r="E255" s="266"/>
      <c r="F255" s="266"/>
      <c r="G255" s="266"/>
    </row>
    <row r="256" spans="1:7" x14ac:dyDescent="0.25">
      <c r="A256" s="12"/>
      <c r="B256" s="12"/>
      <c r="C256" s="11"/>
      <c r="D256" s="12"/>
      <c r="E256" s="12"/>
      <c r="F256" s="12"/>
      <c r="G256" s="12"/>
    </row>
    <row r="257" spans="1:7" x14ac:dyDescent="0.25">
      <c r="A257" s="258" t="s">
        <v>131</v>
      </c>
      <c r="B257" s="258"/>
      <c r="C257" s="258"/>
      <c r="D257" s="258"/>
      <c r="E257" s="258"/>
      <c r="F257" s="258"/>
      <c r="G257" s="258"/>
    </row>
    <row r="258" spans="1:7" ht="38.25" x14ac:dyDescent="0.25">
      <c r="A258" s="13" t="s">
        <v>27</v>
      </c>
      <c r="B258" s="13" t="s">
        <v>28</v>
      </c>
      <c r="C258" s="13" t="s">
        <v>29</v>
      </c>
      <c r="D258" s="13" t="s">
        <v>2</v>
      </c>
      <c r="E258" s="14" t="s">
        <v>117</v>
      </c>
      <c r="F258" s="14" t="s">
        <v>118</v>
      </c>
      <c r="G258" s="14" t="s">
        <v>119</v>
      </c>
    </row>
    <row r="259" spans="1:7" x14ac:dyDescent="0.25">
      <c r="A259" s="15">
        <v>1</v>
      </c>
      <c r="B259" s="254" t="s">
        <v>80</v>
      </c>
      <c r="C259" s="254"/>
      <c r="D259" s="254"/>
      <c r="E259" s="254"/>
      <c r="F259" s="254"/>
      <c r="G259" s="254"/>
    </row>
    <row r="260" spans="1:7" s="1" customFormat="1" x14ac:dyDescent="0.25">
      <c r="A260" s="50" t="s">
        <v>48</v>
      </c>
      <c r="B260" s="78" t="s">
        <v>138</v>
      </c>
      <c r="C260" s="78" t="s">
        <v>134</v>
      </c>
      <c r="D260" s="50"/>
      <c r="E260" s="53">
        <v>0</v>
      </c>
      <c r="F260" s="53">
        <f>192112+78375.6</f>
        <v>270487.59999999998</v>
      </c>
      <c r="G260" s="53">
        <f>SUM(E260:F260)</f>
        <v>270487.59999999998</v>
      </c>
    </row>
    <row r="261" spans="1:7" s="1" customFormat="1" x14ac:dyDescent="0.25">
      <c r="A261" s="80" t="s">
        <v>70</v>
      </c>
      <c r="B261" s="79" t="s">
        <v>140</v>
      </c>
      <c r="C261" s="85" t="s">
        <v>141</v>
      </c>
      <c r="D261" s="80"/>
      <c r="E261" s="23">
        <v>0</v>
      </c>
      <c r="F261" s="23">
        <v>19800</v>
      </c>
      <c r="G261" s="23">
        <f t="shared" ref="G261:G263" si="11">SUM(E261:F261)</f>
        <v>19800</v>
      </c>
    </row>
    <row r="262" spans="1:7" s="1" customFormat="1" x14ac:dyDescent="0.25">
      <c r="A262" s="50" t="s">
        <v>71</v>
      </c>
      <c r="B262" s="78" t="s">
        <v>139</v>
      </c>
      <c r="C262" s="78" t="s">
        <v>135</v>
      </c>
      <c r="D262" s="50"/>
      <c r="E262" s="53">
        <v>0</v>
      </c>
      <c r="F262" s="53">
        <v>56680</v>
      </c>
      <c r="G262" s="53">
        <f t="shared" si="11"/>
        <v>56680</v>
      </c>
    </row>
    <row r="263" spans="1:7" s="1" customFormat="1" x14ac:dyDescent="0.25">
      <c r="A263" s="80" t="s">
        <v>136</v>
      </c>
      <c r="B263" s="79" t="s">
        <v>138</v>
      </c>
      <c r="C263" s="79" t="s">
        <v>137</v>
      </c>
      <c r="D263" s="80"/>
      <c r="E263" s="23">
        <v>0</v>
      </c>
      <c r="F263" s="23">
        <v>37851</v>
      </c>
      <c r="G263" s="23">
        <f t="shared" si="11"/>
        <v>37851</v>
      </c>
    </row>
    <row r="264" spans="1:7" x14ac:dyDescent="0.25">
      <c r="A264" s="253" t="s">
        <v>22</v>
      </c>
      <c r="B264" s="253"/>
      <c r="C264" s="253"/>
      <c r="D264" s="16"/>
      <c r="E264" s="17">
        <f>SUM(E260:E263)</f>
        <v>0</v>
      </c>
      <c r="F264" s="17">
        <f>SUM(F260:F263)</f>
        <v>384818.6</v>
      </c>
      <c r="G264" s="17">
        <f>SUM(E264:F264)</f>
        <v>384818.6</v>
      </c>
    </row>
    <row r="265" spans="1:7" x14ac:dyDescent="0.25">
      <c r="A265" s="15">
        <v>2</v>
      </c>
      <c r="B265" s="254" t="s">
        <v>81</v>
      </c>
      <c r="C265" s="254"/>
      <c r="D265" s="254"/>
      <c r="E265" s="254"/>
      <c r="F265" s="254"/>
      <c r="G265" s="254"/>
    </row>
    <row r="266" spans="1:7" x14ac:dyDescent="0.25">
      <c r="A266" s="253" t="s">
        <v>22</v>
      </c>
      <c r="B266" s="253"/>
      <c r="C266" s="253"/>
      <c r="D266" s="16"/>
      <c r="E266" s="19">
        <f>0</f>
        <v>0</v>
      </c>
      <c r="F266" s="19">
        <f>0</f>
        <v>0</v>
      </c>
      <c r="G266" s="20">
        <f>G265</f>
        <v>0</v>
      </c>
    </row>
    <row r="267" spans="1:7" x14ac:dyDescent="0.25">
      <c r="A267" s="15">
        <v>3</v>
      </c>
      <c r="B267" s="254" t="s">
        <v>82</v>
      </c>
      <c r="C267" s="254"/>
      <c r="D267" s="254"/>
      <c r="E267" s="254"/>
      <c r="F267" s="254"/>
      <c r="G267" s="254"/>
    </row>
    <row r="268" spans="1:7" x14ac:dyDescent="0.25">
      <c r="A268" s="50" t="s">
        <v>4</v>
      </c>
      <c r="B268" s="65" t="s">
        <v>112</v>
      </c>
      <c r="C268" s="65" t="s">
        <v>113</v>
      </c>
      <c r="D268" s="50"/>
      <c r="E268" s="53">
        <v>0</v>
      </c>
      <c r="F268" s="53">
        <v>61410</v>
      </c>
      <c r="G268" s="53">
        <f>SUM(E268:F268)</f>
        <v>61410</v>
      </c>
    </row>
    <row r="269" spans="1:7" x14ac:dyDescent="0.25">
      <c r="A269" s="67" t="s">
        <v>5</v>
      </c>
      <c r="B269" s="34" t="s">
        <v>51</v>
      </c>
      <c r="C269" s="79" t="s">
        <v>86</v>
      </c>
      <c r="D269" s="80" t="s">
        <v>12</v>
      </c>
      <c r="E269" s="23">
        <v>0</v>
      </c>
      <c r="F269" s="23">
        <v>80899.48</v>
      </c>
      <c r="G269" s="23">
        <f t="shared" ref="G269:G273" si="12">SUM(E269:F269)</f>
        <v>80899.48</v>
      </c>
    </row>
    <row r="270" spans="1:7" x14ac:dyDescent="0.25">
      <c r="A270" s="256" t="s">
        <v>6</v>
      </c>
      <c r="B270" s="257" t="s">
        <v>10</v>
      </c>
      <c r="C270" s="65" t="s">
        <v>11</v>
      </c>
      <c r="D270" s="64" t="s">
        <v>20</v>
      </c>
      <c r="E270" s="53">
        <v>0</v>
      </c>
      <c r="F270" s="53">
        <f>22989.15+54795.9+21633.49</f>
        <v>99418.540000000008</v>
      </c>
      <c r="G270" s="53">
        <f t="shared" si="12"/>
        <v>99418.540000000008</v>
      </c>
    </row>
    <row r="271" spans="1:7" x14ac:dyDescent="0.25">
      <c r="A271" s="256"/>
      <c r="B271" s="257"/>
      <c r="C271" s="65" t="s">
        <v>86</v>
      </c>
      <c r="D271" s="64"/>
      <c r="E271" s="53">
        <v>0</v>
      </c>
      <c r="F271" s="53">
        <f>12344.45+33234.44</f>
        <v>45578.89</v>
      </c>
      <c r="G271" s="53">
        <f t="shared" si="12"/>
        <v>45578.89</v>
      </c>
    </row>
    <row r="272" spans="1:7" x14ac:dyDescent="0.25">
      <c r="A272" s="67" t="s">
        <v>18</v>
      </c>
      <c r="B272" s="34" t="s">
        <v>13</v>
      </c>
      <c r="C272" s="79" t="s">
        <v>14</v>
      </c>
      <c r="D272" s="80" t="s">
        <v>21</v>
      </c>
      <c r="E272" s="23">
        <v>0</v>
      </c>
      <c r="F272" s="23">
        <v>17861.009999999998</v>
      </c>
      <c r="G272" s="23">
        <f t="shared" si="12"/>
        <v>17861.009999999998</v>
      </c>
    </row>
    <row r="273" spans="1:7" x14ac:dyDescent="0.25">
      <c r="A273" s="64" t="s">
        <v>23</v>
      </c>
      <c r="B273" s="33" t="s">
        <v>74</v>
      </c>
      <c r="C273" s="65" t="s">
        <v>31</v>
      </c>
      <c r="D273" s="64"/>
      <c r="E273" s="53">
        <v>0</v>
      </c>
      <c r="F273" s="53">
        <v>348249.68</v>
      </c>
      <c r="G273" s="53">
        <f t="shared" si="12"/>
        <v>348249.68</v>
      </c>
    </row>
    <row r="274" spans="1:7" x14ac:dyDescent="0.25">
      <c r="A274" s="253" t="s">
        <v>22</v>
      </c>
      <c r="B274" s="253"/>
      <c r="C274" s="253"/>
      <c r="D274" s="16"/>
      <c r="E274" s="17">
        <f>SUM(E268:E273)</f>
        <v>0</v>
      </c>
      <c r="F274" s="17">
        <f>SUM(F268:F273)</f>
        <v>653417.6</v>
      </c>
      <c r="G274" s="18">
        <f>SUM(G267:G273)</f>
        <v>653417.6</v>
      </c>
    </row>
    <row r="275" spans="1:7" x14ac:dyDescent="0.25">
      <c r="A275" s="15">
        <v>4</v>
      </c>
      <c r="B275" s="254" t="s">
        <v>83</v>
      </c>
      <c r="C275" s="254"/>
      <c r="D275" s="254"/>
      <c r="E275" s="254"/>
      <c r="F275" s="254"/>
      <c r="G275" s="254"/>
    </row>
    <row r="276" spans="1:7" x14ac:dyDescent="0.25">
      <c r="A276" s="253" t="s">
        <v>22</v>
      </c>
      <c r="B276" s="253"/>
      <c r="C276" s="253"/>
      <c r="D276" s="16"/>
      <c r="E276" s="17">
        <v>0</v>
      </c>
      <c r="F276" s="17">
        <v>0</v>
      </c>
      <c r="G276" s="18">
        <v>0</v>
      </c>
    </row>
    <row r="277" spans="1:7" x14ac:dyDescent="0.25">
      <c r="A277" s="15">
        <v>5</v>
      </c>
      <c r="B277" s="63" t="s">
        <v>84</v>
      </c>
      <c r="C277" s="63"/>
      <c r="D277" s="15" t="s">
        <v>26</v>
      </c>
      <c r="E277" s="36"/>
      <c r="F277" s="37"/>
      <c r="G277" s="38">
        <f>SUM(E277:F277)</f>
        <v>0</v>
      </c>
    </row>
    <row r="278" spans="1:7" x14ac:dyDescent="0.25">
      <c r="A278" s="67" t="s">
        <v>32</v>
      </c>
      <c r="B278" s="34" t="s">
        <v>3</v>
      </c>
      <c r="C278" s="66" t="s">
        <v>19</v>
      </c>
      <c r="D278" s="67"/>
      <c r="E278" s="23">
        <v>0</v>
      </c>
      <c r="F278" s="23">
        <v>25010.46</v>
      </c>
      <c r="G278" s="23">
        <v>0</v>
      </c>
    </row>
    <row r="279" spans="1:7" x14ac:dyDescent="0.25">
      <c r="A279" s="253" t="s">
        <v>22</v>
      </c>
      <c r="B279" s="253"/>
      <c r="C279" s="253"/>
      <c r="D279" s="16"/>
      <c r="E279" s="17">
        <f>E278</f>
        <v>0</v>
      </c>
      <c r="F279" s="17">
        <f>F278</f>
        <v>25010.46</v>
      </c>
      <c r="G279" s="18">
        <f>E279+F279</f>
        <v>25010.46</v>
      </c>
    </row>
    <row r="280" spans="1:7" x14ac:dyDescent="0.25">
      <c r="A280" s="255" t="s">
        <v>1</v>
      </c>
      <c r="B280" s="255"/>
      <c r="C280" s="255"/>
      <c r="D280" s="255"/>
      <c r="E280" s="39">
        <f>E264+E266+E274+E279</f>
        <v>0</v>
      </c>
      <c r="F280" s="40">
        <f>F274+F279+F266+F264+F276</f>
        <v>1063246.6599999999</v>
      </c>
      <c r="G280" s="39">
        <f>E280+F280</f>
        <v>1063246.6599999999</v>
      </c>
    </row>
  </sheetData>
  <mergeCells count="166">
    <mergeCell ref="A10:C10"/>
    <mergeCell ref="B11:G11"/>
    <mergeCell ref="B13:G13"/>
    <mergeCell ref="A16:A17"/>
    <mergeCell ref="B16:B17"/>
    <mergeCell ref="A2:G2"/>
    <mergeCell ref="A3:G3"/>
    <mergeCell ref="B4:G4"/>
    <mergeCell ref="A5:G5"/>
    <mergeCell ref="A7:G7"/>
    <mergeCell ref="B9:G9"/>
    <mergeCell ref="A31:G31"/>
    <mergeCell ref="B33:G33"/>
    <mergeCell ref="A34:C34"/>
    <mergeCell ref="B35:G35"/>
    <mergeCell ref="A36:C36"/>
    <mergeCell ref="B37:G37"/>
    <mergeCell ref="A22:C22"/>
    <mergeCell ref="B23:G23"/>
    <mergeCell ref="B25:G25"/>
    <mergeCell ref="A27:C27"/>
    <mergeCell ref="A28:D28"/>
    <mergeCell ref="A24:C24"/>
    <mergeCell ref="A53:G53"/>
    <mergeCell ref="B55:G55"/>
    <mergeCell ref="A56:C56"/>
    <mergeCell ref="B57:G57"/>
    <mergeCell ref="A58:C58"/>
    <mergeCell ref="B59:G59"/>
    <mergeCell ref="A44:C44"/>
    <mergeCell ref="B45:G45"/>
    <mergeCell ref="A49:C49"/>
    <mergeCell ref="A50:D50"/>
    <mergeCell ref="A51:G51"/>
    <mergeCell ref="A73:D73"/>
    <mergeCell ref="A74:G74"/>
    <mergeCell ref="A76:G76"/>
    <mergeCell ref="B78:G78"/>
    <mergeCell ref="A79:C79"/>
    <mergeCell ref="B80:G80"/>
    <mergeCell ref="A62:A63"/>
    <mergeCell ref="B62:B63"/>
    <mergeCell ref="A67:C67"/>
    <mergeCell ref="B68:G68"/>
    <mergeCell ref="A72:C72"/>
    <mergeCell ref="A99:G99"/>
    <mergeCell ref="B101:G101"/>
    <mergeCell ref="A102:C102"/>
    <mergeCell ref="B103:G103"/>
    <mergeCell ref="A81:C81"/>
    <mergeCell ref="B82:G82"/>
    <mergeCell ref="A90:C90"/>
    <mergeCell ref="B91:G91"/>
    <mergeCell ref="A95:C95"/>
    <mergeCell ref="A141:C141"/>
    <mergeCell ref="A142:D142"/>
    <mergeCell ref="A143:G143"/>
    <mergeCell ref="A125:C125"/>
    <mergeCell ref="B126:G126"/>
    <mergeCell ref="A127:C127"/>
    <mergeCell ref="B128:G128"/>
    <mergeCell ref="A131:A132"/>
    <mergeCell ref="B131:B132"/>
    <mergeCell ref="A153:A154"/>
    <mergeCell ref="B153:B154"/>
    <mergeCell ref="A159:C159"/>
    <mergeCell ref="B160:G160"/>
    <mergeCell ref="A164:C164"/>
    <mergeCell ref="A145:G145"/>
    <mergeCell ref="B147:G147"/>
    <mergeCell ref="A148:C148"/>
    <mergeCell ref="B149:G149"/>
    <mergeCell ref="A150:C150"/>
    <mergeCell ref="B151:G151"/>
    <mergeCell ref="A161:C161"/>
    <mergeCell ref="A173:C173"/>
    <mergeCell ref="B174:G174"/>
    <mergeCell ref="A181:C181"/>
    <mergeCell ref="B182:G182"/>
    <mergeCell ref="A186:C186"/>
    <mergeCell ref="A165:D165"/>
    <mergeCell ref="A166:G166"/>
    <mergeCell ref="A168:G168"/>
    <mergeCell ref="B170:G170"/>
    <mergeCell ref="A171:C171"/>
    <mergeCell ref="B172:G172"/>
    <mergeCell ref="A183:C183"/>
    <mergeCell ref="A206:C206"/>
    <mergeCell ref="A195:C195"/>
    <mergeCell ref="B196:G196"/>
    <mergeCell ref="A199:A200"/>
    <mergeCell ref="B199:B200"/>
    <mergeCell ref="A204:C204"/>
    <mergeCell ref="B205:G205"/>
    <mergeCell ref="A187:D187"/>
    <mergeCell ref="A188:G188"/>
    <mergeCell ref="A190:G190"/>
    <mergeCell ref="B192:G192"/>
    <mergeCell ref="A193:C193"/>
    <mergeCell ref="B194:G194"/>
    <mergeCell ref="A216:C216"/>
    <mergeCell ref="B217:G217"/>
    <mergeCell ref="A218:C218"/>
    <mergeCell ref="B219:G219"/>
    <mergeCell ref="A221:A222"/>
    <mergeCell ref="B221:B222"/>
    <mergeCell ref="A209:C209"/>
    <mergeCell ref="A210:D210"/>
    <mergeCell ref="A211:G211"/>
    <mergeCell ref="A213:G213"/>
    <mergeCell ref="B215:G215"/>
    <mergeCell ref="A235:G235"/>
    <mergeCell ref="B237:G237"/>
    <mergeCell ref="A239:C239"/>
    <mergeCell ref="B240:G240"/>
    <mergeCell ref="A241:C241"/>
    <mergeCell ref="B242:G242"/>
    <mergeCell ref="A226:C226"/>
    <mergeCell ref="B227:G227"/>
    <mergeCell ref="A228:C228"/>
    <mergeCell ref="A231:C231"/>
    <mergeCell ref="A232:D232"/>
    <mergeCell ref="A233:G233"/>
    <mergeCell ref="A254:D254"/>
    <mergeCell ref="A255:G255"/>
    <mergeCell ref="A257:G257"/>
    <mergeCell ref="B259:G259"/>
    <mergeCell ref="A264:C264"/>
    <mergeCell ref="B265:G265"/>
    <mergeCell ref="A248:C248"/>
    <mergeCell ref="B249:G249"/>
    <mergeCell ref="A250:C250"/>
    <mergeCell ref="A253:C253"/>
    <mergeCell ref="A276:C276"/>
    <mergeCell ref="A279:C279"/>
    <mergeCell ref="A280:D280"/>
    <mergeCell ref="A266:C266"/>
    <mergeCell ref="B267:G267"/>
    <mergeCell ref="A270:A271"/>
    <mergeCell ref="B270:B271"/>
    <mergeCell ref="A274:C274"/>
    <mergeCell ref="B275:G275"/>
    <mergeCell ref="A41:A42"/>
    <mergeCell ref="B41:B42"/>
    <mergeCell ref="A46:C46"/>
    <mergeCell ref="A69:C69"/>
    <mergeCell ref="A85:A86"/>
    <mergeCell ref="B85:B86"/>
    <mergeCell ref="A92:C92"/>
    <mergeCell ref="A115:C115"/>
    <mergeCell ref="A138:C138"/>
    <mergeCell ref="A136:C136"/>
    <mergeCell ref="B137:G137"/>
    <mergeCell ref="A118:C118"/>
    <mergeCell ref="A119:D119"/>
    <mergeCell ref="A120:G120"/>
    <mergeCell ref="A122:G122"/>
    <mergeCell ref="B124:G124"/>
    <mergeCell ref="A104:C104"/>
    <mergeCell ref="B105:G105"/>
    <mergeCell ref="A108:A109"/>
    <mergeCell ref="B108:B109"/>
    <mergeCell ref="A113:C113"/>
    <mergeCell ref="B114:G114"/>
    <mergeCell ref="A96:D96"/>
    <mergeCell ref="A97:G9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"/>
  <sheetViews>
    <sheetView topLeftCell="A223" workbookViewId="0">
      <selection activeCell="C222" sqref="C222"/>
    </sheetView>
  </sheetViews>
  <sheetFormatPr defaultRowHeight="15" x14ac:dyDescent="0.25"/>
  <cols>
    <col min="1" max="1" width="13.28515625" customWidth="1"/>
    <col min="2" max="2" width="57.5703125" bestFit="1" customWidth="1"/>
    <col min="3" max="3" width="44" bestFit="1" customWidth="1"/>
    <col min="4" max="4" width="11.5703125" hidden="1" customWidth="1"/>
    <col min="5" max="5" width="14.140625" style="105" bestFit="1" customWidth="1"/>
    <col min="6" max="7" width="15" style="105" bestFit="1" customWidth="1"/>
  </cols>
  <sheetData>
    <row r="1" spans="1:7" x14ac:dyDescent="0.25">
      <c r="A1" s="1"/>
      <c r="B1" s="1"/>
      <c r="C1" s="2"/>
      <c r="D1" s="1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144</v>
      </c>
      <c r="B5" s="265"/>
      <c r="C5" s="265"/>
      <c r="D5" s="265"/>
      <c r="E5" s="265"/>
      <c r="F5" s="265"/>
      <c r="G5" s="265"/>
    </row>
    <row r="6" spans="1:7" ht="15.75" x14ac:dyDescent="0.25">
      <c r="A6" s="90"/>
      <c r="B6" s="90"/>
      <c r="C6" s="90"/>
      <c r="D6" s="90"/>
      <c r="E6" s="97"/>
      <c r="F6" s="97"/>
      <c r="G6" s="97"/>
    </row>
    <row r="7" spans="1:7" x14ac:dyDescent="0.25">
      <c r="A7" s="258" t="s">
        <v>145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157</v>
      </c>
      <c r="F8" s="14" t="s">
        <v>158</v>
      </c>
      <c r="G8" s="14" t="s">
        <v>159</v>
      </c>
    </row>
    <row r="9" spans="1:7" x14ac:dyDescent="0.25">
      <c r="A9" s="15">
        <v>1</v>
      </c>
      <c r="B9" s="254" t="s">
        <v>80</v>
      </c>
      <c r="C9" s="254"/>
      <c r="D9" s="254"/>
      <c r="E9" s="254"/>
      <c r="F9" s="254"/>
      <c r="G9" s="254"/>
    </row>
    <row r="10" spans="1:7" s="1" customFormat="1" x14ac:dyDescent="0.25">
      <c r="A10" s="50" t="s">
        <v>48</v>
      </c>
      <c r="B10" s="102" t="s">
        <v>138</v>
      </c>
      <c r="C10" s="102" t="s">
        <v>134</v>
      </c>
      <c r="D10" s="50"/>
      <c r="E10" s="53">
        <v>99580</v>
      </c>
      <c r="F10" s="53">
        <v>0</v>
      </c>
      <c r="G10" s="53">
        <f>SUM(E10:F10)</f>
        <v>99580</v>
      </c>
    </row>
    <row r="11" spans="1:7" x14ac:dyDescent="0.25">
      <c r="A11" s="253" t="s">
        <v>22</v>
      </c>
      <c r="B11" s="253"/>
      <c r="C11" s="253"/>
      <c r="D11" s="16"/>
      <c r="E11" s="106">
        <f>E10</f>
        <v>99580</v>
      </c>
      <c r="F11" s="106">
        <f t="shared" ref="F11:G11" si="0">F10</f>
        <v>0</v>
      </c>
      <c r="G11" s="106">
        <f t="shared" si="0"/>
        <v>99580</v>
      </c>
    </row>
    <row r="12" spans="1:7" x14ac:dyDescent="0.25">
      <c r="A12" s="15">
        <v>2</v>
      </c>
      <c r="B12" s="254" t="s">
        <v>81</v>
      </c>
      <c r="C12" s="254"/>
      <c r="D12" s="254"/>
      <c r="E12" s="254"/>
      <c r="F12" s="254"/>
      <c r="G12" s="254"/>
    </row>
    <row r="13" spans="1:7" x14ac:dyDescent="0.25">
      <c r="A13" s="81" t="s">
        <v>22</v>
      </c>
      <c r="B13" s="82"/>
      <c r="C13" s="83"/>
      <c r="D13" s="16"/>
      <c r="E13" s="107">
        <f>0</f>
        <v>0</v>
      </c>
      <c r="F13" s="107">
        <f>0</f>
        <v>0</v>
      </c>
      <c r="G13" s="20">
        <f>G12</f>
        <v>0</v>
      </c>
    </row>
    <row r="14" spans="1:7" x14ac:dyDescent="0.25">
      <c r="A14" s="15">
        <v>3</v>
      </c>
      <c r="B14" s="254" t="s">
        <v>82</v>
      </c>
      <c r="C14" s="254"/>
      <c r="D14" s="254"/>
      <c r="E14" s="254"/>
      <c r="F14" s="254"/>
      <c r="G14" s="254"/>
    </row>
    <row r="15" spans="1:7" x14ac:dyDescent="0.25">
      <c r="A15" s="89" t="s">
        <v>4</v>
      </c>
      <c r="B15" s="34" t="s">
        <v>74</v>
      </c>
      <c r="C15" s="88" t="s">
        <v>74</v>
      </c>
      <c r="D15" s="89"/>
      <c r="E15" s="23">
        <v>29781.73</v>
      </c>
      <c r="F15" s="23">
        <v>270593.52</v>
      </c>
      <c r="G15" s="25">
        <f t="shared" ref="G15:G17" si="1">SUM(E15:F15)</f>
        <v>300375.25</v>
      </c>
    </row>
    <row r="16" spans="1:7" x14ac:dyDescent="0.25">
      <c r="A16" s="50" t="s">
        <v>5</v>
      </c>
      <c r="B16" s="51" t="s">
        <v>13</v>
      </c>
      <c r="C16" s="52" t="s">
        <v>14</v>
      </c>
      <c r="D16" s="50"/>
      <c r="E16" s="23">
        <v>0</v>
      </c>
      <c r="F16" s="23">
        <v>9866.34</v>
      </c>
      <c r="G16" s="25">
        <f t="shared" si="1"/>
        <v>9866.34</v>
      </c>
    </row>
    <row r="17" spans="1:7" s="1" customFormat="1" x14ac:dyDescent="0.25">
      <c r="A17" s="104" t="s">
        <v>6</v>
      </c>
      <c r="B17" s="34" t="s">
        <v>132</v>
      </c>
      <c r="C17" s="103" t="s">
        <v>133</v>
      </c>
      <c r="D17" s="104"/>
      <c r="E17" s="23">
        <v>22871.279999999999</v>
      </c>
      <c r="F17" s="23">
        <v>0</v>
      </c>
      <c r="G17" s="25">
        <f t="shared" si="1"/>
        <v>22871.279999999999</v>
      </c>
    </row>
    <row r="18" spans="1:7" x14ac:dyDescent="0.25">
      <c r="A18" s="253" t="s">
        <v>22</v>
      </c>
      <c r="B18" s="253"/>
      <c r="C18" s="253"/>
      <c r="D18" s="16"/>
      <c r="E18" s="106">
        <f>SUM(E15:E17)</f>
        <v>52653.009999999995</v>
      </c>
      <c r="F18" s="106">
        <f>SUM(F15:F17)</f>
        <v>280459.86000000004</v>
      </c>
      <c r="G18" s="18">
        <f>SUM(G14:G17)</f>
        <v>333112.87</v>
      </c>
    </row>
    <row r="19" spans="1:7" x14ac:dyDescent="0.25">
      <c r="A19" s="15">
        <v>4</v>
      </c>
      <c r="B19" s="254" t="s">
        <v>83</v>
      </c>
      <c r="C19" s="254"/>
      <c r="D19" s="254"/>
      <c r="E19" s="254"/>
      <c r="F19" s="254"/>
      <c r="G19" s="254"/>
    </row>
    <row r="20" spans="1:7" x14ac:dyDescent="0.25">
      <c r="A20" s="253" t="s">
        <v>22</v>
      </c>
      <c r="B20" s="253"/>
      <c r="C20" s="253"/>
      <c r="D20" s="16"/>
      <c r="E20" s="106">
        <v>0</v>
      </c>
      <c r="F20" s="106">
        <v>0</v>
      </c>
      <c r="G20" s="18">
        <v>0</v>
      </c>
    </row>
    <row r="21" spans="1:7" x14ac:dyDescent="0.25">
      <c r="A21" s="15">
        <v>5</v>
      </c>
      <c r="B21" s="267" t="s">
        <v>84</v>
      </c>
      <c r="C21" s="268"/>
      <c r="D21" s="268"/>
      <c r="E21" s="268"/>
      <c r="F21" s="268"/>
      <c r="G21" s="269"/>
    </row>
    <row r="22" spans="1:7" s="1" customFormat="1" x14ac:dyDescent="0.25">
      <c r="A22" s="104" t="s">
        <v>32</v>
      </c>
      <c r="B22" s="34" t="s">
        <v>3</v>
      </c>
      <c r="C22" s="103" t="s">
        <v>19</v>
      </c>
      <c r="D22" s="104"/>
      <c r="E22" s="23">
        <v>35935.15</v>
      </c>
      <c r="F22" s="23">
        <v>0</v>
      </c>
      <c r="G22" s="23">
        <f>SUM(E22:F22)</f>
        <v>35935.15</v>
      </c>
    </row>
    <row r="23" spans="1:7" x14ac:dyDescent="0.25">
      <c r="A23" s="253" t="s">
        <v>22</v>
      </c>
      <c r="B23" s="253"/>
      <c r="C23" s="253"/>
      <c r="D23" s="16"/>
      <c r="E23" s="106">
        <f>E22</f>
        <v>35935.15</v>
      </c>
      <c r="F23" s="106">
        <f>F22</f>
        <v>0</v>
      </c>
      <c r="G23" s="18">
        <f>G22</f>
        <v>35935.15</v>
      </c>
    </row>
    <row r="24" spans="1:7" x14ac:dyDescent="0.25">
      <c r="A24" s="255" t="s">
        <v>1</v>
      </c>
      <c r="B24" s="255"/>
      <c r="C24" s="255"/>
      <c r="D24" s="255"/>
      <c r="E24" s="39">
        <f>E11+E13+E18+E23</f>
        <v>188168.16</v>
      </c>
      <c r="F24" s="39">
        <f>F18+F23+F11</f>
        <v>280459.86000000004</v>
      </c>
      <c r="G24" s="39">
        <f>E24+F24</f>
        <v>468628.02</v>
      </c>
    </row>
    <row r="25" spans="1:7" x14ac:dyDescent="0.25">
      <c r="A25" s="10" t="s">
        <v>33</v>
      </c>
      <c r="B25" s="10"/>
      <c r="C25" s="11"/>
      <c r="D25" s="12"/>
      <c r="E25" s="108"/>
      <c r="F25" s="108"/>
      <c r="G25" s="108"/>
    </row>
    <row r="26" spans="1:7" x14ac:dyDescent="0.25">
      <c r="A26" s="1"/>
      <c r="B26" s="1"/>
      <c r="C26" s="2"/>
      <c r="D26" s="1"/>
    </row>
    <row r="27" spans="1:7" x14ac:dyDescent="0.25">
      <c r="A27" s="262" t="s">
        <v>146</v>
      </c>
      <c r="B27" s="263"/>
      <c r="C27" s="263"/>
      <c r="D27" s="263"/>
      <c r="E27" s="263"/>
      <c r="F27" s="263"/>
      <c r="G27" s="264"/>
    </row>
    <row r="28" spans="1:7" ht="38.25" x14ac:dyDescent="0.25">
      <c r="A28" s="13" t="s">
        <v>27</v>
      </c>
      <c r="B28" s="13" t="s">
        <v>28</v>
      </c>
      <c r="C28" s="13" t="s">
        <v>29</v>
      </c>
      <c r="D28" s="13" t="s">
        <v>2</v>
      </c>
      <c r="E28" s="14" t="s">
        <v>157</v>
      </c>
      <c r="F28" s="14" t="s">
        <v>158</v>
      </c>
      <c r="G28" s="14" t="s">
        <v>159</v>
      </c>
    </row>
    <row r="29" spans="1:7" x14ac:dyDescent="0.25">
      <c r="A29" s="15">
        <v>1</v>
      </c>
      <c r="B29" s="254" t="s">
        <v>80</v>
      </c>
      <c r="C29" s="254"/>
      <c r="D29" s="254"/>
      <c r="E29" s="254"/>
      <c r="F29" s="254"/>
      <c r="G29" s="254"/>
    </row>
    <row r="30" spans="1:7" x14ac:dyDescent="0.25">
      <c r="A30" s="253" t="s">
        <v>22</v>
      </c>
      <c r="B30" s="253"/>
      <c r="C30" s="253"/>
      <c r="D30" s="16"/>
      <c r="E30" s="106">
        <f>0</f>
        <v>0</v>
      </c>
      <c r="F30" s="106">
        <v>0</v>
      </c>
      <c r="G30" s="18">
        <v>0</v>
      </c>
    </row>
    <row r="31" spans="1:7" x14ac:dyDescent="0.25">
      <c r="A31" s="15">
        <v>2</v>
      </c>
      <c r="B31" s="254" t="s">
        <v>81</v>
      </c>
      <c r="C31" s="254"/>
      <c r="D31" s="254"/>
      <c r="E31" s="254"/>
      <c r="F31" s="254"/>
      <c r="G31" s="254"/>
    </row>
    <row r="32" spans="1:7" x14ac:dyDescent="0.25">
      <c r="A32" s="253" t="s">
        <v>22</v>
      </c>
      <c r="B32" s="253"/>
      <c r="C32" s="253"/>
      <c r="D32" s="16"/>
      <c r="E32" s="107">
        <f>0</f>
        <v>0</v>
      </c>
      <c r="F32" s="107">
        <f>0</f>
        <v>0</v>
      </c>
      <c r="G32" s="20">
        <f>G31</f>
        <v>0</v>
      </c>
    </row>
    <row r="33" spans="1:7" x14ac:dyDescent="0.25">
      <c r="A33" s="15">
        <v>3</v>
      </c>
      <c r="B33" s="254" t="s">
        <v>82</v>
      </c>
      <c r="C33" s="254"/>
      <c r="D33" s="254"/>
      <c r="E33" s="254"/>
      <c r="F33" s="254"/>
      <c r="G33" s="254"/>
    </row>
    <row r="34" spans="1:7" x14ac:dyDescent="0.25">
      <c r="A34" s="89" t="s">
        <v>4</v>
      </c>
      <c r="B34" s="34" t="s">
        <v>13</v>
      </c>
      <c r="C34" s="88" t="s">
        <v>14</v>
      </c>
      <c r="D34" s="89" t="s">
        <v>21</v>
      </c>
      <c r="E34" s="23">
        <v>0</v>
      </c>
      <c r="F34" s="23">
        <v>13683.7</v>
      </c>
      <c r="G34" s="25">
        <f>SUM(E34:F34)</f>
        <v>13683.7</v>
      </c>
    </row>
    <row r="35" spans="1:7" x14ac:dyDescent="0.25">
      <c r="A35" s="44" t="s">
        <v>5</v>
      </c>
      <c r="B35" s="45" t="s">
        <v>0</v>
      </c>
      <c r="C35" s="46" t="s">
        <v>31</v>
      </c>
      <c r="D35" s="44"/>
      <c r="E35" s="23">
        <v>0</v>
      </c>
      <c r="F35" s="23">
        <v>294273.34000000003</v>
      </c>
      <c r="G35" s="25">
        <f t="shared" ref="G35:G43" si="2">SUM(E35:F35)</f>
        <v>294273.34000000003</v>
      </c>
    </row>
    <row r="36" spans="1:7" x14ac:dyDescent="0.25">
      <c r="A36" s="70" t="s">
        <v>6</v>
      </c>
      <c r="B36" s="34" t="s">
        <v>163</v>
      </c>
      <c r="C36" s="88" t="s">
        <v>164</v>
      </c>
      <c r="D36" s="70"/>
      <c r="E36" s="23">
        <v>0</v>
      </c>
      <c r="F36" s="23">
        <v>282720</v>
      </c>
      <c r="G36" s="25">
        <f t="shared" si="2"/>
        <v>282720</v>
      </c>
    </row>
    <row r="37" spans="1:7" x14ac:dyDescent="0.25">
      <c r="A37" s="270" t="s">
        <v>18</v>
      </c>
      <c r="B37" s="272" t="s">
        <v>10</v>
      </c>
      <c r="C37" s="87" t="s">
        <v>11</v>
      </c>
      <c r="D37" s="44"/>
      <c r="E37" s="28">
        <v>0</v>
      </c>
      <c r="F37" s="23">
        <v>21668.94</v>
      </c>
      <c r="G37" s="30">
        <f t="shared" si="2"/>
        <v>21668.94</v>
      </c>
    </row>
    <row r="38" spans="1:7" s="1" customFormat="1" x14ac:dyDescent="0.25">
      <c r="A38" s="271"/>
      <c r="B38" s="273"/>
      <c r="C38" s="102" t="s">
        <v>86</v>
      </c>
      <c r="D38" s="44"/>
      <c r="E38" s="28">
        <f>21213.46+1970.03</f>
        <v>23183.489999999998</v>
      </c>
      <c r="F38" s="23">
        <v>0</v>
      </c>
      <c r="G38" s="30">
        <v>0</v>
      </c>
    </row>
    <row r="39" spans="1:7" x14ac:dyDescent="0.25">
      <c r="A39" s="70" t="s">
        <v>23</v>
      </c>
      <c r="B39" s="88" t="s">
        <v>161</v>
      </c>
      <c r="C39" s="88" t="s">
        <v>162</v>
      </c>
      <c r="D39" s="70"/>
      <c r="E39" s="23">
        <v>1099.94</v>
      </c>
      <c r="F39" s="23">
        <v>13493.13</v>
      </c>
      <c r="G39" s="25">
        <f t="shared" si="2"/>
        <v>14593.07</v>
      </c>
    </row>
    <row r="40" spans="1:7" s="1" customFormat="1" x14ac:dyDescent="0.25">
      <c r="A40" s="44" t="s">
        <v>24</v>
      </c>
      <c r="B40" s="33" t="s">
        <v>51</v>
      </c>
      <c r="C40" s="102" t="s">
        <v>86</v>
      </c>
      <c r="D40" s="44"/>
      <c r="E40" s="28">
        <v>80899.48</v>
      </c>
      <c r="F40" s="28">
        <v>0</v>
      </c>
      <c r="G40" s="30">
        <f t="shared" si="2"/>
        <v>80899.48</v>
      </c>
    </row>
    <row r="41" spans="1:7" s="1" customFormat="1" x14ac:dyDescent="0.25">
      <c r="A41" s="70" t="s">
        <v>25</v>
      </c>
      <c r="B41" s="103" t="s">
        <v>112</v>
      </c>
      <c r="C41" s="103" t="s">
        <v>113</v>
      </c>
      <c r="D41" s="70"/>
      <c r="E41" s="23">
        <v>18423</v>
      </c>
      <c r="F41" s="23">
        <v>0</v>
      </c>
      <c r="G41" s="25">
        <f t="shared" si="2"/>
        <v>18423</v>
      </c>
    </row>
    <row r="42" spans="1:7" s="1" customFormat="1" x14ac:dyDescent="0.25">
      <c r="A42" s="44" t="s">
        <v>41</v>
      </c>
      <c r="B42" s="33" t="s">
        <v>132</v>
      </c>
      <c r="C42" s="102" t="s">
        <v>133</v>
      </c>
      <c r="D42" s="44"/>
      <c r="E42" s="28">
        <v>32019.8</v>
      </c>
      <c r="F42" s="28">
        <v>0</v>
      </c>
      <c r="G42" s="30">
        <f t="shared" si="2"/>
        <v>32019.8</v>
      </c>
    </row>
    <row r="43" spans="1:7" s="1" customFormat="1" x14ac:dyDescent="0.25">
      <c r="A43" s="70" t="s">
        <v>167</v>
      </c>
      <c r="B43" s="34" t="s">
        <v>165</v>
      </c>
      <c r="C43" s="103" t="s">
        <v>166</v>
      </c>
      <c r="D43" s="70"/>
      <c r="E43" s="23">
        <v>3000</v>
      </c>
      <c r="F43" s="23">
        <v>0</v>
      </c>
      <c r="G43" s="25">
        <f t="shared" si="2"/>
        <v>3000</v>
      </c>
    </row>
    <row r="44" spans="1:7" x14ac:dyDescent="0.25">
      <c r="A44" s="253" t="s">
        <v>22</v>
      </c>
      <c r="B44" s="253"/>
      <c r="C44" s="253"/>
      <c r="D44" s="16"/>
      <c r="E44" s="106">
        <f>SUM(E34:E43)</f>
        <v>158625.71</v>
      </c>
      <c r="F44" s="106">
        <f>SUM(F34:F43)</f>
        <v>625839.11</v>
      </c>
      <c r="G44" s="18">
        <f>SUM(G34:G43)</f>
        <v>761281.33</v>
      </c>
    </row>
    <row r="45" spans="1:7" x14ac:dyDescent="0.25">
      <c r="A45" s="15">
        <v>4</v>
      </c>
      <c r="B45" s="254" t="s">
        <v>83</v>
      </c>
      <c r="C45" s="254"/>
      <c r="D45" s="254"/>
      <c r="E45" s="254"/>
      <c r="F45" s="254"/>
      <c r="G45" s="254"/>
    </row>
    <row r="46" spans="1:7" x14ac:dyDescent="0.25">
      <c r="A46" s="253" t="s">
        <v>22</v>
      </c>
      <c r="B46" s="253"/>
      <c r="C46" s="253"/>
      <c r="D46" s="16"/>
      <c r="E46" s="106">
        <v>0</v>
      </c>
      <c r="F46" s="106">
        <v>0</v>
      </c>
      <c r="G46" s="18">
        <v>0</v>
      </c>
    </row>
    <row r="47" spans="1:7" x14ac:dyDescent="0.25">
      <c r="A47" s="15">
        <v>5</v>
      </c>
      <c r="B47" s="267" t="s">
        <v>84</v>
      </c>
      <c r="C47" s="268"/>
      <c r="D47" s="268"/>
      <c r="E47" s="268"/>
      <c r="F47" s="268"/>
      <c r="G47" s="269"/>
    </row>
    <row r="48" spans="1:7" x14ac:dyDescent="0.25">
      <c r="A48" s="253" t="s">
        <v>22</v>
      </c>
      <c r="B48" s="253"/>
      <c r="C48" s="253"/>
      <c r="D48" s="16"/>
      <c r="E48" s="106">
        <v>0</v>
      </c>
      <c r="F48" s="106">
        <v>0</v>
      </c>
      <c r="G48" s="18">
        <f>E48+F48</f>
        <v>0</v>
      </c>
    </row>
    <row r="49" spans="1:7" x14ac:dyDescent="0.25">
      <c r="A49" s="255" t="s">
        <v>1</v>
      </c>
      <c r="B49" s="255"/>
      <c r="C49" s="255"/>
      <c r="D49" s="255"/>
      <c r="E49" s="39">
        <f>E30+E32+E44+E48</f>
        <v>158625.71</v>
      </c>
      <c r="F49" s="39">
        <f>F44+F48+F32+F30</f>
        <v>625839.11</v>
      </c>
      <c r="G49" s="39">
        <f>E49+F49</f>
        <v>784464.82</v>
      </c>
    </row>
    <row r="50" spans="1:7" x14ac:dyDescent="0.25">
      <c r="A50" s="266" t="s">
        <v>33</v>
      </c>
      <c r="B50" s="266"/>
      <c r="C50" s="266"/>
      <c r="D50" s="266"/>
      <c r="E50" s="266"/>
      <c r="F50" s="266"/>
      <c r="G50" s="266"/>
    </row>
    <row r="51" spans="1:7" x14ac:dyDescent="0.25">
      <c r="A51" s="12"/>
      <c r="B51" s="12"/>
      <c r="C51" s="11"/>
      <c r="D51" s="12"/>
      <c r="E51" s="108"/>
      <c r="F51" s="108"/>
      <c r="G51" s="108"/>
    </row>
    <row r="52" spans="1:7" x14ac:dyDescent="0.25">
      <c r="A52" s="258" t="s">
        <v>147</v>
      </c>
      <c r="B52" s="258"/>
      <c r="C52" s="258"/>
      <c r="D52" s="258"/>
      <c r="E52" s="258"/>
      <c r="F52" s="258"/>
      <c r="G52" s="258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157</v>
      </c>
      <c r="F53" s="14" t="s">
        <v>158</v>
      </c>
      <c r="G53" s="14" t="s">
        <v>159</v>
      </c>
    </row>
    <row r="54" spans="1:7" x14ac:dyDescent="0.25">
      <c r="A54" s="15">
        <v>1</v>
      </c>
      <c r="B54" s="254" t="s">
        <v>80</v>
      </c>
      <c r="C54" s="254"/>
      <c r="D54" s="254"/>
      <c r="E54" s="254"/>
      <c r="F54" s="254"/>
      <c r="G54" s="254"/>
    </row>
    <row r="55" spans="1:7" x14ac:dyDescent="0.25">
      <c r="A55" s="253" t="s">
        <v>22</v>
      </c>
      <c r="B55" s="253"/>
      <c r="C55" s="253"/>
      <c r="D55" s="16"/>
      <c r="E55" s="106">
        <v>0</v>
      </c>
      <c r="F55" s="106">
        <v>0</v>
      </c>
      <c r="G55" s="18">
        <v>0</v>
      </c>
    </row>
    <row r="56" spans="1:7" x14ac:dyDescent="0.25">
      <c r="A56" s="15">
        <v>2</v>
      </c>
      <c r="B56" s="254" t="s">
        <v>81</v>
      </c>
      <c r="C56" s="254"/>
      <c r="D56" s="254"/>
      <c r="E56" s="254"/>
      <c r="F56" s="254"/>
      <c r="G56" s="254"/>
    </row>
    <row r="57" spans="1:7" x14ac:dyDescent="0.25">
      <c r="A57" s="253" t="s">
        <v>22</v>
      </c>
      <c r="B57" s="253"/>
      <c r="C57" s="253"/>
      <c r="D57" s="16"/>
      <c r="E57" s="107">
        <f>0</f>
        <v>0</v>
      </c>
      <c r="F57" s="107">
        <f>0</f>
        <v>0</v>
      </c>
      <c r="G57" s="20">
        <f>G56</f>
        <v>0</v>
      </c>
    </row>
    <row r="58" spans="1:7" x14ac:dyDescent="0.25">
      <c r="A58" s="15">
        <v>3</v>
      </c>
      <c r="B58" s="254" t="s">
        <v>82</v>
      </c>
      <c r="C58" s="254"/>
      <c r="D58" s="254"/>
      <c r="E58" s="254"/>
      <c r="F58" s="254"/>
      <c r="G58" s="254"/>
    </row>
    <row r="59" spans="1:7" x14ac:dyDescent="0.25">
      <c r="A59" s="86" t="s">
        <v>4</v>
      </c>
      <c r="B59" s="33" t="s">
        <v>163</v>
      </c>
      <c r="C59" s="87" t="s">
        <v>164</v>
      </c>
      <c r="D59" s="86" t="s">
        <v>17</v>
      </c>
      <c r="E59" s="28">
        <v>0</v>
      </c>
      <c r="F59" s="28">
        <v>139536</v>
      </c>
      <c r="G59" s="28">
        <f>SUM(E59:F59)</f>
        <v>139536</v>
      </c>
    </row>
    <row r="60" spans="1:7" x14ac:dyDescent="0.25">
      <c r="A60" s="100" t="s">
        <v>5</v>
      </c>
      <c r="B60" s="101" t="s">
        <v>10</v>
      </c>
      <c r="C60" s="88" t="s">
        <v>11</v>
      </c>
      <c r="D60" s="89" t="s">
        <v>20</v>
      </c>
      <c r="E60" s="23">
        <v>0</v>
      </c>
      <c r="F60" s="23">
        <f>43997.7+18563.52</f>
        <v>62561.22</v>
      </c>
      <c r="G60" s="23">
        <f t="shared" ref="G60:G63" si="3">SUM(E60:F60)</f>
        <v>62561.22</v>
      </c>
    </row>
    <row r="61" spans="1:7" x14ac:dyDescent="0.25">
      <c r="A61" s="86" t="s">
        <v>6</v>
      </c>
      <c r="B61" s="33" t="s">
        <v>13</v>
      </c>
      <c r="C61" s="87" t="s">
        <v>14</v>
      </c>
      <c r="D61" s="86" t="s">
        <v>21</v>
      </c>
      <c r="E61" s="23">
        <v>0</v>
      </c>
      <c r="F61" s="23">
        <v>10278.719999999999</v>
      </c>
      <c r="G61" s="23">
        <f t="shared" si="3"/>
        <v>10278.719999999999</v>
      </c>
    </row>
    <row r="62" spans="1:7" x14ac:dyDescent="0.25">
      <c r="A62" s="89" t="s">
        <v>18</v>
      </c>
      <c r="B62" s="34" t="s">
        <v>0</v>
      </c>
      <c r="C62" s="88" t="s">
        <v>31</v>
      </c>
      <c r="D62" s="89"/>
      <c r="E62" s="23">
        <v>0</v>
      </c>
      <c r="F62" s="23">
        <v>292398.67</v>
      </c>
      <c r="G62" s="23">
        <f t="shared" si="3"/>
        <v>292398.67</v>
      </c>
    </row>
    <row r="63" spans="1:7" x14ac:dyDescent="0.25">
      <c r="A63" s="86" t="s">
        <v>23</v>
      </c>
      <c r="B63" s="33" t="s">
        <v>161</v>
      </c>
      <c r="C63" s="87" t="s">
        <v>162</v>
      </c>
      <c r="D63" s="86"/>
      <c r="E63" s="23">
        <v>0</v>
      </c>
      <c r="F63" s="23">
        <v>13057.87</v>
      </c>
      <c r="G63" s="23">
        <f t="shared" si="3"/>
        <v>13057.87</v>
      </c>
    </row>
    <row r="64" spans="1:7" x14ac:dyDescent="0.25">
      <c r="A64" s="253" t="s">
        <v>22</v>
      </c>
      <c r="B64" s="253"/>
      <c r="C64" s="253"/>
      <c r="D64" s="16"/>
      <c r="E64" s="106">
        <f>SUM(E59:E63)</f>
        <v>0</v>
      </c>
      <c r="F64" s="106">
        <f>SUM(F59:F63)</f>
        <v>517832.48</v>
      </c>
      <c r="G64" s="18">
        <f>SUM(G58:G62)</f>
        <v>504774.61</v>
      </c>
    </row>
    <row r="65" spans="1:7" x14ac:dyDescent="0.25">
      <c r="A65" s="15">
        <v>4</v>
      </c>
      <c r="B65" s="254" t="s">
        <v>83</v>
      </c>
      <c r="C65" s="254"/>
      <c r="D65" s="254"/>
      <c r="E65" s="254"/>
      <c r="F65" s="254"/>
      <c r="G65" s="254"/>
    </row>
    <row r="66" spans="1:7" x14ac:dyDescent="0.25">
      <c r="A66" s="253" t="s">
        <v>22</v>
      </c>
      <c r="B66" s="253"/>
      <c r="C66" s="253"/>
      <c r="D66" s="16"/>
      <c r="E66" s="106">
        <v>0</v>
      </c>
      <c r="F66" s="106">
        <v>0</v>
      </c>
      <c r="G66" s="18">
        <v>0</v>
      </c>
    </row>
    <row r="67" spans="1:7" x14ac:dyDescent="0.25">
      <c r="A67" s="15">
        <v>5</v>
      </c>
      <c r="B67" s="267" t="s">
        <v>84</v>
      </c>
      <c r="C67" s="268"/>
      <c r="D67" s="268"/>
      <c r="E67" s="268"/>
      <c r="F67" s="268"/>
      <c r="G67" s="269"/>
    </row>
    <row r="68" spans="1:7" x14ac:dyDescent="0.25">
      <c r="A68" s="89" t="s">
        <v>32</v>
      </c>
      <c r="B68" s="34" t="s">
        <v>3</v>
      </c>
      <c r="C68" s="88" t="s">
        <v>19</v>
      </c>
      <c r="D68" s="89"/>
      <c r="E68" s="23">
        <v>0</v>
      </c>
      <c r="F68" s="23">
        <v>47700.06</v>
      </c>
      <c r="G68" s="23">
        <f>SUM(E68:F68)</f>
        <v>47700.06</v>
      </c>
    </row>
    <row r="69" spans="1:7" x14ac:dyDescent="0.25">
      <c r="A69" s="253" t="s">
        <v>22</v>
      </c>
      <c r="B69" s="253"/>
      <c r="C69" s="253"/>
      <c r="D69" s="16"/>
      <c r="E69" s="106">
        <f>E68</f>
        <v>0</v>
      </c>
      <c r="F69" s="106">
        <f>F68</f>
        <v>47700.06</v>
      </c>
      <c r="G69" s="18">
        <f>E69+F69</f>
        <v>47700.06</v>
      </c>
    </row>
    <row r="70" spans="1:7" x14ac:dyDescent="0.25">
      <c r="A70" s="255" t="s">
        <v>1</v>
      </c>
      <c r="B70" s="255"/>
      <c r="C70" s="255"/>
      <c r="D70" s="255"/>
      <c r="E70" s="39">
        <f>E55+E57+E64+E69</f>
        <v>0</v>
      </c>
      <c r="F70" s="39">
        <f>F64+F69+F57+F55</f>
        <v>565532.54</v>
      </c>
      <c r="G70" s="39">
        <f>E70+F70</f>
        <v>565532.54</v>
      </c>
    </row>
    <row r="71" spans="1:7" x14ac:dyDescent="0.25">
      <c r="A71" s="266" t="s">
        <v>33</v>
      </c>
      <c r="B71" s="266"/>
      <c r="C71" s="266"/>
      <c r="D71" s="266"/>
      <c r="E71" s="266"/>
      <c r="F71" s="266"/>
      <c r="G71" s="266"/>
    </row>
    <row r="72" spans="1:7" x14ac:dyDescent="0.25">
      <c r="A72" s="12"/>
      <c r="B72" s="12"/>
      <c r="C72" s="11"/>
      <c r="D72" s="12"/>
      <c r="E72" s="108"/>
      <c r="F72" s="108"/>
      <c r="G72" s="108"/>
    </row>
    <row r="73" spans="1:7" x14ac:dyDescent="0.25">
      <c r="A73" s="258" t="s">
        <v>148</v>
      </c>
      <c r="B73" s="258"/>
      <c r="C73" s="258"/>
      <c r="D73" s="258"/>
      <c r="E73" s="258"/>
      <c r="F73" s="258"/>
      <c r="G73" s="258"/>
    </row>
    <row r="74" spans="1:7" ht="38.25" x14ac:dyDescent="0.25">
      <c r="A74" s="13" t="s">
        <v>27</v>
      </c>
      <c r="B74" s="13" t="s">
        <v>28</v>
      </c>
      <c r="C74" s="13" t="s">
        <v>29</v>
      </c>
      <c r="D74" s="13" t="s">
        <v>2</v>
      </c>
      <c r="E74" s="14" t="s">
        <v>157</v>
      </c>
      <c r="F74" s="14" t="s">
        <v>158</v>
      </c>
      <c r="G74" s="14" t="s">
        <v>159</v>
      </c>
    </row>
    <row r="75" spans="1:7" x14ac:dyDescent="0.25">
      <c r="A75" s="15">
        <v>1</v>
      </c>
      <c r="B75" s="254" t="s">
        <v>80</v>
      </c>
      <c r="C75" s="254"/>
      <c r="D75" s="254"/>
      <c r="E75" s="254"/>
      <c r="F75" s="254"/>
      <c r="G75" s="254"/>
    </row>
    <row r="76" spans="1:7" x14ac:dyDescent="0.25">
      <c r="A76" s="253" t="s">
        <v>22</v>
      </c>
      <c r="B76" s="253"/>
      <c r="C76" s="253"/>
      <c r="D76" s="16"/>
      <c r="E76" s="106">
        <v>0</v>
      </c>
      <c r="F76" s="106">
        <v>0</v>
      </c>
      <c r="G76" s="18">
        <v>0</v>
      </c>
    </row>
    <row r="77" spans="1:7" x14ac:dyDescent="0.25">
      <c r="A77" s="15">
        <v>2</v>
      </c>
      <c r="B77" s="254" t="s">
        <v>81</v>
      </c>
      <c r="C77" s="254"/>
      <c r="D77" s="254"/>
      <c r="E77" s="254"/>
      <c r="F77" s="254"/>
      <c r="G77" s="254"/>
    </row>
    <row r="78" spans="1:7" x14ac:dyDescent="0.25">
      <c r="A78" s="253" t="s">
        <v>22</v>
      </c>
      <c r="B78" s="253"/>
      <c r="C78" s="253"/>
      <c r="D78" s="16"/>
      <c r="E78" s="107">
        <f>0</f>
        <v>0</v>
      </c>
      <c r="F78" s="107">
        <f>0</f>
        <v>0</v>
      </c>
      <c r="G78" s="20">
        <f>G77</f>
        <v>0</v>
      </c>
    </row>
    <row r="79" spans="1:7" x14ac:dyDescent="0.25">
      <c r="A79" s="15">
        <v>3</v>
      </c>
      <c r="B79" s="254" t="s">
        <v>82</v>
      </c>
      <c r="C79" s="254"/>
      <c r="D79" s="254"/>
      <c r="E79" s="254"/>
      <c r="F79" s="254"/>
      <c r="G79" s="254"/>
    </row>
    <row r="80" spans="1:7" x14ac:dyDescent="0.25">
      <c r="A80" s="94" t="s">
        <v>4</v>
      </c>
      <c r="B80" s="92" t="s">
        <v>10</v>
      </c>
      <c r="C80" s="87" t="s">
        <v>11</v>
      </c>
      <c r="D80" s="86"/>
      <c r="E80" s="28">
        <v>0</v>
      </c>
      <c r="F80" s="28">
        <v>62780.1</v>
      </c>
      <c r="G80" s="28">
        <f t="shared" ref="G80:G83" si="4">SUM(E80:F80)</f>
        <v>62780.1</v>
      </c>
    </row>
    <row r="81" spans="1:7" x14ac:dyDescent="0.25">
      <c r="A81" s="89" t="s">
        <v>5</v>
      </c>
      <c r="B81" s="34" t="s">
        <v>13</v>
      </c>
      <c r="C81" s="88" t="s">
        <v>14</v>
      </c>
      <c r="D81" s="89" t="s">
        <v>21</v>
      </c>
      <c r="E81" s="23">
        <v>0</v>
      </c>
      <c r="F81" s="28">
        <v>16029.54</v>
      </c>
      <c r="G81" s="28">
        <f t="shared" si="4"/>
        <v>16029.54</v>
      </c>
    </row>
    <row r="82" spans="1:7" x14ac:dyDescent="0.25">
      <c r="A82" s="86" t="s">
        <v>6</v>
      </c>
      <c r="B82" s="33" t="s">
        <v>0</v>
      </c>
      <c r="C82" s="87" t="s">
        <v>31</v>
      </c>
      <c r="D82" s="86"/>
      <c r="E82" s="28">
        <v>0</v>
      </c>
      <c r="F82" s="28">
        <v>306153.74</v>
      </c>
      <c r="G82" s="28">
        <f t="shared" si="4"/>
        <v>306153.74</v>
      </c>
    </row>
    <row r="83" spans="1:7" x14ac:dyDescent="0.25">
      <c r="A83" s="89" t="s">
        <v>18</v>
      </c>
      <c r="B83" s="34" t="s">
        <v>161</v>
      </c>
      <c r="C83" s="88" t="s">
        <v>162</v>
      </c>
      <c r="D83" s="89"/>
      <c r="E83" s="23">
        <v>0</v>
      </c>
      <c r="F83" s="28">
        <v>13057.87</v>
      </c>
      <c r="G83" s="28">
        <f t="shared" si="4"/>
        <v>13057.87</v>
      </c>
    </row>
    <row r="84" spans="1:7" x14ac:dyDescent="0.25">
      <c r="A84" s="253" t="s">
        <v>22</v>
      </c>
      <c r="B84" s="253"/>
      <c r="C84" s="253"/>
      <c r="D84" s="16"/>
      <c r="E84" s="106">
        <f>SUM(E80:E83)</f>
        <v>0</v>
      </c>
      <c r="F84" s="106">
        <f>SUM(F80:F83)</f>
        <v>398021.25</v>
      </c>
      <c r="G84" s="18">
        <f>SUM(G79:G83)</f>
        <v>398021.25</v>
      </c>
    </row>
    <row r="85" spans="1:7" x14ac:dyDescent="0.25">
      <c r="A85" s="15">
        <v>4</v>
      </c>
      <c r="B85" s="254" t="s">
        <v>83</v>
      </c>
      <c r="C85" s="254"/>
      <c r="D85" s="254"/>
      <c r="E85" s="254"/>
      <c r="F85" s="254"/>
      <c r="G85" s="254"/>
    </row>
    <row r="86" spans="1:7" x14ac:dyDescent="0.25">
      <c r="A86" s="253" t="s">
        <v>22</v>
      </c>
      <c r="B86" s="253"/>
      <c r="C86" s="253"/>
      <c r="D86" s="16"/>
      <c r="E86" s="106">
        <v>0</v>
      </c>
      <c r="F86" s="106">
        <v>0</v>
      </c>
      <c r="G86" s="18">
        <v>0</v>
      </c>
    </row>
    <row r="87" spans="1:7" x14ac:dyDescent="0.25">
      <c r="A87" s="15">
        <v>5</v>
      </c>
      <c r="B87" s="267" t="s">
        <v>84</v>
      </c>
      <c r="C87" s="268"/>
      <c r="D87" s="268"/>
      <c r="E87" s="268"/>
      <c r="F87" s="268"/>
      <c r="G87" s="269"/>
    </row>
    <row r="88" spans="1:7" x14ac:dyDescent="0.25">
      <c r="A88" s="89" t="s">
        <v>32</v>
      </c>
      <c r="B88" s="34" t="s">
        <v>3</v>
      </c>
      <c r="C88" s="88" t="s">
        <v>19</v>
      </c>
      <c r="D88" s="89"/>
      <c r="E88" s="23">
        <v>0</v>
      </c>
      <c r="F88" s="23">
        <f>16777.3+2909.97</f>
        <v>19687.27</v>
      </c>
      <c r="G88" s="23">
        <f>SUM(E88:F88)</f>
        <v>19687.27</v>
      </c>
    </row>
    <row r="89" spans="1:7" x14ac:dyDescent="0.25">
      <c r="A89" s="253" t="s">
        <v>22</v>
      </c>
      <c r="B89" s="253"/>
      <c r="C89" s="253"/>
      <c r="D89" s="16"/>
      <c r="E89" s="106">
        <f>E88</f>
        <v>0</v>
      </c>
      <c r="F89" s="106">
        <f>F88</f>
        <v>19687.27</v>
      </c>
      <c r="G89" s="18">
        <f>E89+F89</f>
        <v>19687.27</v>
      </c>
    </row>
    <row r="90" spans="1:7" x14ac:dyDescent="0.25">
      <c r="A90" s="255" t="s">
        <v>1</v>
      </c>
      <c r="B90" s="255"/>
      <c r="C90" s="255"/>
      <c r="D90" s="255"/>
      <c r="E90" s="39">
        <f>E76+E78+E84+E89</f>
        <v>0</v>
      </c>
      <c r="F90" s="39">
        <f>F84+F89+F78+F76</f>
        <v>417708.52</v>
      </c>
      <c r="G90" s="39">
        <f>E90+F90</f>
        <v>417708.52</v>
      </c>
    </row>
    <row r="91" spans="1:7" x14ac:dyDescent="0.25">
      <c r="A91" s="266" t="s">
        <v>33</v>
      </c>
      <c r="B91" s="266"/>
      <c r="C91" s="266"/>
      <c r="D91" s="266"/>
      <c r="E91" s="266"/>
      <c r="F91" s="266"/>
      <c r="G91" s="266"/>
    </row>
    <row r="92" spans="1:7" x14ac:dyDescent="0.25">
      <c r="A92" s="12"/>
      <c r="B92" s="12"/>
      <c r="C92" s="11"/>
      <c r="D92" s="12"/>
      <c r="E92" s="108"/>
      <c r="F92" s="108"/>
      <c r="G92" s="108"/>
    </row>
    <row r="93" spans="1:7" x14ac:dyDescent="0.25">
      <c r="A93" s="258" t="s">
        <v>149</v>
      </c>
      <c r="B93" s="258"/>
      <c r="C93" s="258"/>
      <c r="D93" s="258"/>
      <c r="E93" s="258"/>
      <c r="F93" s="258"/>
      <c r="G93" s="258"/>
    </row>
    <row r="94" spans="1:7" ht="38.25" x14ac:dyDescent="0.25">
      <c r="A94" s="13" t="s">
        <v>27</v>
      </c>
      <c r="B94" s="13" t="s">
        <v>28</v>
      </c>
      <c r="C94" s="13" t="s">
        <v>29</v>
      </c>
      <c r="D94" s="13" t="s">
        <v>2</v>
      </c>
      <c r="E94" s="14" t="s">
        <v>157</v>
      </c>
      <c r="F94" s="14" t="s">
        <v>158</v>
      </c>
      <c r="G94" s="14" t="s">
        <v>159</v>
      </c>
    </row>
    <row r="95" spans="1:7" x14ac:dyDescent="0.25">
      <c r="A95" s="15">
        <v>1</v>
      </c>
      <c r="B95" s="254" t="s">
        <v>80</v>
      </c>
      <c r="C95" s="254"/>
      <c r="D95" s="254"/>
      <c r="E95" s="254"/>
      <c r="F95" s="254"/>
      <c r="G95" s="254"/>
    </row>
    <row r="96" spans="1:7" x14ac:dyDescent="0.25">
      <c r="A96" s="253" t="s">
        <v>22</v>
      </c>
      <c r="B96" s="253"/>
      <c r="C96" s="253"/>
      <c r="D96" s="16"/>
      <c r="E96" s="106">
        <v>0</v>
      </c>
      <c r="F96" s="106">
        <v>0</v>
      </c>
      <c r="G96" s="18">
        <v>0</v>
      </c>
    </row>
    <row r="97" spans="1:7" x14ac:dyDescent="0.25">
      <c r="A97" s="15">
        <v>2</v>
      </c>
      <c r="B97" s="254" t="s">
        <v>81</v>
      </c>
      <c r="C97" s="254"/>
      <c r="D97" s="254"/>
      <c r="E97" s="254"/>
      <c r="F97" s="254"/>
      <c r="G97" s="254"/>
    </row>
    <row r="98" spans="1:7" x14ac:dyDescent="0.25">
      <c r="A98" s="253" t="s">
        <v>22</v>
      </c>
      <c r="B98" s="253"/>
      <c r="C98" s="253"/>
      <c r="D98" s="16"/>
      <c r="E98" s="107">
        <f>0</f>
        <v>0</v>
      </c>
      <c r="F98" s="107">
        <f>0</f>
        <v>0</v>
      </c>
      <c r="G98" s="20">
        <f>G97</f>
        <v>0</v>
      </c>
    </row>
    <row r="99" spans="1:7" x14ac:dyDescent="0.25">
      <c r="A99" s="15">
        <v>3</v>
      </c>
      <c r="B99" s="254" t="s">
        <v>82</v>
      </c>
      <c r="C99" s="254"/>
      <c r="D99" s="254"/>
      <c r="E99" s="254"/>
      <c r="F99" s="254"/>
      <c r="G99" s="254"/>
    </row>
    <row r="100" spans="1:7" x14ac:dyDescent="0.25">
      <c r="A100" s="93" t="s">
        <v>4</v>
      </c>
      <c r="B100" s="91" t="s">
        <v>10</v>
      </c>
      <c r="C100" s="87" t="s">
        <v>11</v>
      </c>
      <c r="D100" s="86" t="s">
        <v>20</v>
      </c>
      <c r="E100" s="28">
        <v>0</v>
      </c>
      <c r="F100" s="28">
        <v>69288.149999999994</v>
      </c>
      <c r="G100" s="28">
        <f t="shared" ref="G100:G103" si="5">SUM(E100:F100)</f>
        <v>69288.149999999994</v>
      </c>
    </row>
    <row r="101" spans="1:7" x14ac:dyDescent="0.25">
      <c r="A101" s="89" t="s">
        <v>4</v>
      </c>
      <c r="B101" s="34" t="s">
        <v>13</v>
      </c>
      <c r="C101" s="88" t="s">
        <v>14</v>
      </c>
      <c r="D101" s="89" t="s">
        <v>21</v>
      </c>
      <c r="E101" s="23">
        <v>0</v>
      </c>
      <c r="F101" s="28">
        <v>22655.34</v>
      </c>
      <c r="G101" s="28">
        <f t="shared" si="5"/>
        <v>22655.34</v>
      </c>
    </row>
    <row r="102" spans="1:7" x14ac:dyDescent="0.25">
      <c r="A102" s="86" t="s">
        <v>6</v>
      </c>
      <c r="B102" s="33" t="s">
        <v>0</v>
      </c>
      <c r="C102" s="87" t="s">
        <v>31</v>
      </c>
      <c r="D102" s="86"/>
      <c r="E102" s="28">
        <v>0</v>
      </c>
      <c r="F102" s="28">
        <v>317797.59999999998</v>
      </c>
      <c r="G102" s="28">
        <f t="shared" si="5"/>
        <v>317797.59999999998</v>
      </c>
    </row>
    <row r="103" spans="1:7" x14ac:dyDescent="0.25">
      <c r="A103" s="89" t="s">
        <v>18</v>
      </c>
      <c r="B103" s="34" t="s">
        <v>161</v>
      </c>
      <c r="C103" s="88" t="s">
        <v>162</v>
      </c>
      <c r="D103" s="89"/>
      <c r="E103" s="23">
        <v>0</v>
      </c>
      <c r="F103" s="28">
        <v>13057.87</v>
      </c>
      <c r="G103" s="28">
        <f t="shared" si="5"/>
        <v>13057.87</v>
      </c>
    </row>
    <row r="104" spans="1:7" x14ac:dyDescent="0.25">
      <c r="A104" s="253" t="s">
        <v>22</v>
      </c>
      <c r="B104" s="253"/>
      <c r="C104" s="253"/>
      <c r="D104" s="16"/>
      <c r="E104" s="106">
        <f>SUM(E100:E103)</f>
        <v>0</v>
      </c>
      <c r="F104" s="106">
        <f>SUM(F100:F103)</f>
        <v>422798.95999999996</v>
      </c>
      <c r="G104" s="18">
        <f>SUM(G99:G103)</f>
        <v>422798.95999999996</v>
      </c>
    </row>
    <row r="105" spans="1:7" x14ac:dyDescent="0.25">
      <c r="A105" s="15">
        <v>4</v>
      </c>
      <c r="B105" s="254" t="s">
        <v>83</v>
      </c>
      <c r="C105" s="254"/>
      <c r="D105" s="254"/>
      <c r="E105" s="254"/>
      <c r="F105" s="254"/>
      <c r="G105" s="254"/>
    </row>
    <row r="106" spans="1:7" x14ac:dyDescent="0.25">
      <c r="A106" s="253" t="s">
        <v>22</v>
      </c>
      <c r="B106" s="253"/>
      <c r="C106" s="253"/>
      <c r="D106" s="16"/>
      <c r="E106" s="106">
        <v>0</v>
      </c>
      <c r="F106" s="106">
        <v>0</v>
      </c>
      <c r="G106" s="18">
        <v>0</v>
      </c>
    </row>
    <row r="107" spans="1:7" x14ac:dyDescent="0.25">
      <c r="A107" s="15">
        <v>5</v>
      </c>
      <c r="B107" s="267" t="s">
        <v>84</v>
      </c>
      <c r="C107" s="268"/>
      <c r="D107" s="268"/>
      <c r="E107" s="268"/>
      <c r="F107" s="268"/>
      <c r="G107" s="269"/>
    </row>
    <row r="108" spans="1:7" x14ac:dyDescent="0.25">
      <c r="A108" s="89" t="s">
        <v>32</v>
      </c>
      <c r="B108" s="34" t="s">
        <v>3</v>
      </c>
      <c r="C108" s="88" t="s">
        <v>19</v>
      </c>
      <c r="D108" s="89"/>
      <c r="E108" s="23">
        <v>0</v>
      </c>
      <c r="F108" s="23">
        <v>21349.98</v>
      </c>
      <c r="G108" s="23">
        <f>SUM(E108:F108)</f>
        <v>21349.98</v>
      </c>
    </row>
    <row r="109" spans="1:7" x14ac:dyDescent="0.25">
      <c r="A109" s="253" t="s">
        <v>22</v>
      </c>
      <c r="B109" s="253"/>
      <c r="C109" s="253"/>
      <c r="D109" s="16"/>
      <c r="E109" s="106">
        <f>E108</f>
        <v>0</v>
      </c>
      <c r="F109" s="106">
        <f>F108</f>
        <v>21349.98</v>
      </c>
      <c r="G109" s="18">
        <f>E109+F109</f>
        <v>21349.98</v>
      </c>
    </row>
    <row r="110" spans="1:7" x14ac:dyDescent="0.25">
      <c r="A110" s="255" t="s">
        <v>1</v>
      </c>
      <c r="B110" s="255"/>
      <c r="C110" s="255"/>
      <c r="D110" s="255"/>
      <c r="E110" s="39">
        <f>E96+E98+E104+E109</f>
        <v>0</v>
      </c>
      <c r="F110" s="39">
        <f>F104+F109+F98+F96</f>
        <v>444148.93999999994</v>
      </c>
      <c r="G110" s="39">
        <f>E110+F110</f>
        <v>444148.93999999994</v>
      </c>
    </row>
    <row r="111" spans="1:7" x14ac:dyDescent="0.25">
      <c r="A111" s="266" t="s">
        <v>33</v>
      </c>
      <c r="B111" s="266"/>
      <c r="C111" s="266"/>
      <c r="D111" s="266"/>
      <c r="E111" s="266"/>
      <c r="F111" s="266"/>
      <c r="G111" s="266"/>
    </row>
    <row r="112" spans="1:7" x14ac:dyDescent="0.25">
      <c r="A112" s="12"/>
      <c r="B112" s="12"/>
      <c r="C112" s="11"/>
      <c r="D112" s="12"/>
      <c r="E112" s="108"/>
      <c r="F112" s="108"/>
      <c r="G112" s="108"/>
    </row>
    <row r="113" spans="1:7" x14ac:dyDescent="0.25">
      <c r="A113" s="258" t="s">
        <v>150</v>
      </c>
      <c r="B113" s="258"/>
      <c r="C113" s="258"/>
      <c r="D113" s="258"/>
      <c r="E113" s="258"/>
      <c r="F113" s="258"/>
      <c r="G113" s="258"/>
    </row>
    <row r="114" spans="1:7" ht="38.25" x14ac:dyDescent="0.25">
      <c r="A114" s="13" t="s">
        <v>27</v>
      </c>
      <c r="B114" s="13" t="s">
        <v>28</v>
      </c>
      <c r="C114" s="13" t="s">
        <v>29</v>
      </c>
      <c r="D114" s="13" t="s">
        <v>2</v>
      </c>
      <c r="E114" s="14" t="s">
        <v>157</v>
      </c>
      <c r="F114" s="14" t="s">
        <v>158</v>
      </c>
      <c r="G114" s="14" t="s">
        <v>159</v>
      </c>
    </row>
    <row r="115" spans="1:7" x14ac:dyDescent="0.25">
      <c r="A115" s="15">
        <v>1</v>
      </c>
      <c r="B115" s="254" t="s">
        <v>80</v>
      </c>
      <c r="C115" s="254"/>
      <c r="D115" s="254"/>
      <c r="E115" s="254"/>
      <c r="F115" s="254"/>
      <c r="G115" s="254"/>
    </row>
    <row r="116" spans="1:7" x14ac:dyDescent="0.25">
      <c r="A116" s="253" t="s">
        <v>22</v>
      </c>
      <c r="B116" s="253"/>
      <c r="C116" s="253"/>
      <c r="D116" s="16"/>
      <c r="E116" s="106">
        <v>0</v>
      </c>
      <c r="F116" s="106">
        <v>0</v>
      </c>
      <c r="G116" s="18">
        <v>0</v>
      </c>
    </row>
    <row r="117" spans="1:7" x14ac:dyDescent="0.25">
      <c r="A117" s="15">
        <v>2</v>
      </c>
      <c r="B117" s="254" t="s">
        <v>81</v>
      </c>
      <c r="C117" s="254"/>
      <c r="D117" s="254"/>
      <c r="E117" s="254"/>
      <c r="F117" s="254"/>
      <c r="G117" s="254"/>
    </row>
    <row r="118" spans="1:7" x14ac:dyDescent="0.25">
      <c r="A118" s="253" t="s">
        <v>22</v>
      </c>
      <c r="B118" s="253"/>
      <c r="C118" s="253"/>
      <c r="D118" s="16"/>
      <c r="E118" s="107">
        <f>0</f>
        <v>0</v>
      </c>
      <c r="F118" s="107">
        <f>0</f>
        <v>0</v>
      </c>
      <c r="G118" s="20">
        <f>G117</f>
        <v>0</v>
      </c>
    </row>
    <row r="119" spans="1:7" x14ac:dyDescent="0.25">
      <c r="A119" s="15">
        <v>3</v>
      </c>
      <c r="B119" s="254" t="s">
        <v>82</v>
      </c>
      <c r="C119" s="254"/>
      <c r="D119" s="254"/>
      <c r="E119" s="254"/>
      <c r="F119" s="254"/>
      <c r="G119" s="254"/>
    </row>
    <row r="120" spans="1:7" x14ac:dyDescent="0.25">
      <c r="A120" s="98" t="s">
        <v>4</v>
      </c>
      <c r="B120" s="34" t="s">
        <v>13</v>
      </c>
      <c r="C120" s="88" t="s">
        <v>14</v>
      </c>
      <c r="D120" s="89" t="s">
        <v>21</v>
      </c>
      <c r="E120" s="23">
        <v>0</v>
      </c>
      <c r="F120" s="28">
        <v>26463.54</v>
      </c>
      <c r="G120" s="28">
        <f t="shared" ref="G120:G122" si="6">SUM(E120:F120)</f>
        <v>26463.54</v>
      </c>
    </row>
    <row r="121" spans="1:7" x14ac:dyDescent="0.25">
      <c r="A121" s="95" t="s">
        <v>5</v>
      </c>
      <c r="B121" s="33" t="s">
        <v>0</v>
      </c>
      <c r="C121" s="87" t="s">
        <v>31</v>
      </c>
      <c r="D121" s="86"/>
      <c r="E121" s="28">
        <v>0</v>
      </c>
      <c r="F121" s="28">
        <v>300725.82</v>
      </c>
      <c r="G121" s="28">
        <f t="shared" si="6"/>
        <v>300725.82</v>
      </c>
    </row>
    <row r="122" spans="1:7" x14ac:dyDescent="0.25">
      <c r="A122" s="98" t="s">
        <v>6</v>
      </c>
      <c r="B122" s="34" t="s">
        <v>161</v>
      </c>
      <c r="C122" s="99" t="s">
        <v>162</v>
      </c>
      <c r="D122" s="89"/>
      <c r="E122" s="23">
        <v>0</v>
      </c>
      <c r="F122" s="28">
        <v>13057.87</v>
      </c>
      <c r="G122" s="28">
        <f t="shared" si="6"/>
        <v>13057.87</v>
      </c>
    </row>
    <row r="123" spans="1:7" x14ac:dyDescent="0.25">
      <c r="A123" s="253" t="s">
        <v>22</v>
      </c>
      <c r="B123" s="253"/>
      <c r="C123" s="253"/>
      <c r="D123" s="16"/>
      <c r="E123" s="106">
        <f>SUM(E120:E122)</f>
        <v>0</v>
      </c>
      <c r="F123" s="106">
        <f>SUM(F120:F122)</f>
        <v>340247.23</v>
      </c>
      <c r="G123" s="18">
        <f>SUM(G119:G122)</f>
        <v>340247.23</v>
      </c>
    </row>
    <row r="124" spans="1:7" x14ac:dyDescent="0.25">
      <c r="A124" s="15">
        <v>4</v>
      </c>
      <c r="B124" s="254" t="s">
        <v>83</v>
      </c>
      <c r="C124" s="254"/>
      <c r="D124" s="254"/>
      <c r="E124" s="254"/>
      <c r="F124" s="254"/>
      <c r="G124" s="254"/>
    </row>
    <row r="125" spans="1:7" x14ac:dyDescent="0.25">
      <c r="A125" s="253" t="s">
        <v>22</v>
      </c>
      <c r="B125" s="253"/>
      <c r="C125" s="253"/>
      <c r="D125" s="16"/>
      <c r="E125" s="106">
        <v>0</v>
      </c>
      <c r="F125" s="106">
        <v>0</v>
      </c>
      <c r="G125" s="18">
        <v>0</v>
      </c>
    </row>
    <row r="126" spans="1:7" x14ac:dyDescent="0.25">
      <c r="A126" s="15">
        <v>5</v>
      </c>
      <c r="B126" s="267" t="s">
        <v>84</v>
      </c>
      <c r="C126" s="268"/>
      <c r="D126" s="268"/>
      <c r="E126" s="268"/>
      <c r="F126" s="268"/>
      <c r="G126" s="269"/>
    </row>
    <row r="127" spans="1:7" x14ac:dyDescent="0.25">
      <c r="A127" s="89" t="s">
        <v>32</v>
      </c>
      <c r="B127" s="34" t="s">
        <v>3</v>
      </c>
      <c r="C127" s="88" t="s">
        <v>19</v>
      </c>
      <c r="D127" s="89"/>
      <c r="E127" s="23">
        <v>0</v>
      </c>
      <c r="F127" s="23">
        <v>28188.080000000002</v>
      </c>
      <c r="G127" s="23">
        <f>SUM(E127:F127)</f>
        <v>28188.080000000002</v>
      </c>
    </row>
    <row r="128" spans="1:7" x14ac:dyDescent="0.25">
      <c r="A128" s="253" t="s">
        <v>22</v>
      </c>
      <c r="B128" s="253"/>
      <c r="C128" s="253"/>
      <c r="D128" s="16"/>
      <c r="E128" s="106">
        <f>E127</f>
        <v>0</v>
      </c>
      <c r="F128" s="106">
        <f>F127</f>
        <v>28188.080000000002</v>
      </c>
      <c r="G128" s="18">
        <f>E128+F128</f>
        <v>28188.080000000002</v>
      </c>
    </row>
    <row r="129" spans="1:7" x14ac:dyDescent="0.25">
      <c r="A129" s="255" t="s">
        <v>1</v>
      </c>
      <c r="B129" s="255"/>
      <c r="C129" s="255"/>
      <c r="D129" s="255"/>
      <c r="E129" s="39">
        <f>E116+E118+E123+E128</f>
        <v>0</v>
      </c>
      <c r="F129" s="39">
        <f>F123+F128+F118+F116</f>
        <v>368435.31</v>
      </c>
      <c r="G129" s="39">
        <f>E129+F129</f>
        <v>368435.31</v>
      </c>
    </row>
    <row r="130" spans="1:7" x14ac:dyDescent="0.25">
      <c r="A130" s="266" t="s">
        <v>33</v>
      </c>
      <c r="B130" s="266"/>
      <c r="C130" s="266"/>
      <c r="D130" s="266"/>
      <c r="E130" s="266"/>
      <c r="F130" s="266"/>
      <c r="G130" s="266"/>
    </row>
    <row r="131" spans="1:7" x14ac:dyDescent="0.25">
      <c r="A131" s="12"/>
      <c r="B131" s="12"/>
      <c r="C131" s="11"/>
      <c r="D131" s="12"/>
      <c r="E131" s="108"/>
      <c r="F131" s="108"/>
      <c r="G131" s="108"/>
    </row>
    <row r="132" spans="1:7" x14ac:dyDescent="0.25">
      <c r="A132" s="258" t="s">
        <v>151</v>
      </c>
      <c r="B132" s="258"/>
      <c r="C132" s="258"/>
      <c r="D132" s="258"/>
      <c r="E132" s="258"/>
      <c r="F132" s="258"/>
      <c r="G132" s="258"/>
    </row>
    <row r="133" spans="1:7" ht="38.25" x14ac:dyDescent="0.25">
      <c r="A133" s="13" t="s">
        <v>27</v>
      </c>
      <c r="B133" s="13" t="s">
        <v>28</v>
      </c>
      <c r="C133" s="13" t="s">
        <v>29</v>
      </c>
      <c r="D133" s="13" t="s">
        <v>2</v>
      </c>
      <c r="E133" s="14" t="s">
        <v>157</v>
      </c>
      <c r="F133" s="14" t="s">
        <v>158</v>
      </c>
      <c r="G133" s="14" t="s">
        <v>159</v>
      </c>
    </row>
    <row r="134" spans="1:7" x14ac:dyDescent="0.25">
      <c r="A134" s="15">
        <v>1</v>
      </c>
      <c r="B134" s="254" t="s">
        <v>80</v>
      </c>
      <c r="C134" s="254"/>
      <c r="D134" s="254"/>
      <c r="E134" s="254"/>
      <c r="F134" s="254"/>
      <c r="G134" s="254"/>
    </row>
    <row r="135" spans="1:7" x14ac:dyDescent="0.25">
      <c r="A135" s="253" t="s">
        <v>22</v>
      </c>
      <c r="B135" s="253"/>
      <c r="C135" s="253"/>
      <c r="D135" s="16"/>
      <c r="E135" s="106">
        <v>0</v>
      </c>
      <c r="F135" s="106">
        <v>0</v>
      </c>
      <c r="G135" s="18">
        <v>0</v>
      </c>
    </row>
    <row r="136" spans="1:7" x14ac:dyDescent="0.25">
      <c r="A136" s="15">
        <v>2</v>
      </c>
      <c r="B136" s="254" t="s">
        <v>81</v>
      </c>
      <c r="C136" s="254"/>
      <c r="D136" s="254"/>
      <c r="E136" s="254"/>
      <c r="F136" s="254"/>
      <c r="G136" s="254"/>
    </row>
    <row r="137" spans="1:7" x14ac:dyDescent="0.25">
      <c r="A137" s="253" t="s">
        <v>22</v>
      </c>
      <c r="B137" s="253"/>
      <c r="C137" s="253"/>
      <c r="D137" s="16"/>
      <c r="E137" s="107">
        <f>0</f>
        <v>0</v>
      </c>
      <c r="F137" s="107">
        <f>0</f>
        <v>0</v>
      </c>
      <c r="G137" s="20">
        <f>G136</f>
        <v>0</v>
      </c>
    </row>
    <row r="138" spans="1:7" x14ac:dyDescent="0.25">
      <c r="A138" s="15">
        <v>3</v>
      </c>
      <c r="B138" s="254" t="s">
        <v>82</v>
      </c>
      <c r="C138" s="254"/>
      <c r="D138" s="254"/>
      <c r="E138" s="254"/>
      <c r="F138" s="254"/>
      <c r="G138" s="254"/>
    </row>
    <row r="139" spans="1:7" x14ac:dyDescent="0.25">
      <c r="A139" s="98" t="s">
        <v>4</v>
      </c>
      <c r="B139" s="34" t="s">
        <v>163</v>
      </c>
      <c r="C139" s="99" t="s">
        <v>164</v>
      </c>
      <c r="D139" s="98" t="s">
        <v>160</v>
      </c>
      <c r="E139" s="23">
        <v>0</v>
      </c>
      <c r="F139" s="23">
        <v>99408</v>
      </c>
      <c r="G139" s="23">
        <f>SUM(E139:F139)</f>
        <v>99408</v>
      </c>
    </row>
    <row r="140" spans="1:7" x14ac:dyDescent="0.25">
      <c r="A140" s="95" t="s">
        <v>5</v>
      </c>
      <c r="B140" s="96" t="s">
        <v>10</v>
      </c>
      <c r="C140" s="87" t="s">
        <v>11</v>
      </c>
      <c r="D140" s="86" t="s">
        <v>20</v>
      </c>
      <c r="E140" s="28">
        <v>0</v>
      </c>
      <c r="F140" s="23">
        <v>48467.55</v>
      </c>
      <c r="G140" s="28">
        <f t="shared" ref="G140:G143" si="7">SUM(E140:F140)</f>
        <v>48467.55</v>
      </c>
    </row>
    <row r="141" spans="1:7" x14ac:dyDescent="0.25">
      <c r="A141" s="89" t="s">
        <v>6</v>
      </c>
      <c r="B141" s="34" t="s">
        <v>13</v>
      </c>
      <c r="C141" s="88" t="s">
        <v>14</v>
      </c>
      <c r="D141" s="89" t="s">
        <v>21</v>
      </c>
      <c r="E141" s="23">
        <v>0</v>
      </c>
      <c r="F141" s="23">
        <v>5835.63</v>
      </c>
      <c r="G141" s="23">
        <f t="shared" si="7"/>
        <v>5835.63</v>
      </c>
    </row>
    <row r="142" spans="1:7" x14ac:dyDescent="0.25">
      <c r="A142" s="86" t="s">
        <v>18</v>
      </c>
      <c r="B142" s="33" t="s">
        <v>0</v>
      </c>
      <c r="C142" s="87" t="s">
        <v>31</v>
      </c>
      <c r="D142" s="86"/>
      <c r="E142" s="28">
        <v>0</v>
      </c>
      <c r="F142" s="23">
        <v>286082.69</v>
      </c>
      <c r="G142" s="28">
        <f t="shared" si="7"/>
        <v>286082.69</v>
      </c>
    </row>
    <row r="143" spans="1:7" x14ac:dyDescent="0.25">
      <c r="A143" s="89" t="s">
        <v>23</v>
      </c>
      <c r="B143" s="34" t="s">
        <v>161</v>
      </c>
      <c r="C143" s="99" t="s">
        <v>162</v>
      </c>
      <c r="D143" s="89"/>
      <c r="E143" s="23">
        <v>0</v>
      </c>
      <c r="F143" s="23">
        <v>13057.87</v>
      </c>
      <c r="G143" s="23">
        <f t="shared" si="7"/>
        <v>13057.87</v>
      </c>
    </row>
    <row r="144" spans="1:7" x14ac:dyDescent="0.25">
      <c r="A144" s="253" t="s">
        <v>22</v>
      </c>
      <c r="B144" s="253"/>
      <c r="C144" s="253"/>
      <c r="D144" s="16"/>
      <c r="E144" s="106">
        <f>SUM(E139:E143)</f>
        <v>0</v>
      </c>
      <c r="F144" s="106">
        <f>SUM(F139:F143)</f>
        <v>452851.74</v>
      </c>
      <c r="G144" s="18">
        <f>SUM(G138:G143)</f>
        <v>452851.74</v>
      </c>
    </row>
    <row r="145" spans="1:7" x14ac:dyDescent="0.25">
      <c r="A145" s="15">
        <v>4</v>
      </c>
      <c r="B145" s="254" t="s">
        <v>83</v>
      </c>
      <c r="C145" s="254"/>
      <c r="D145" s="254"/>
      <c r="E145" s="254"/>
      <c r="F145" s="254"/>
      <c r="G145" s="254"/>
    </row>
    <row r="146" spans="1:7" x14ac:dyDescent="0.25">
      <c r="A146" s="253" t="s">
        <v>22</v>
      </c>
      <c r="B146" s="253"/>
      <c r="C146" s="253"/>
      <c r="D146" s="16"/>
      <c r="E146" s="106">
        <v>0</v>
      </c>
      <c r="F146" s="106">
        <v>0</v>
      </c>
      <c r="G146" s="18">
        <v>0</v>
      </c>
    </row>
    <row r="147" spans="1:7" x14ac:dyDescent="0.25">
      <c r="A147" s="15">
        <v>5</v>
      </c>
      <c r="B147" s="267" t="s">
        <v>84</v>
      </c>
      <c r="C147" s="268"/>
      <c r="D147" s="268"/>
      <c r="E147" s="268"/>
      <c r="F147" s="268"/>
      <c r="G147" s="269"/>
    </row>
    <row r="148" spans="1:7" x14ac:dyDescent="0.25">
      <c r="A148" s="89" t="s">
        <v>32</v>
      </c>
      <c r="B148" s="34" t="s">
        <v>3</v>
      </c>
      <c r="C148" s="88" t="s">
        <v>19</v>
      </c>
      <c r="D148" s="89"/>
      <c r="E148" s="23">
        <v>0</v>
      </c>
      <c r="F148" s="23">
        <v>33047.19</v>
      </c>
      <c r="G148" s="25">
        <f>SUM(E148:F148)</f>
        <v>33047.19</v>
      </c>
    </row>
    <row r="149" spans="1:7" x14ac:dyDescent="0.25">
      <c r="A149" s="253" t="s">
        <v>22</v>
      </c>
      <c r="B149" s="253"/>
      <c r="C149" s="253"/>
      <c r="D149" s="16"/>
      <c r="E149" s="106">
        <f>E148</f>
        <v>0</v>
      </c>
      <c r="F149" s="106">
        <f>F148</f>
        <v>33047.19</v>
      </c>
      <c r="G149" s="18">
        <f>E149+F149</f>
        <v>33047.19</v>
      </c>
    </row>
    <row r="150" spans="1:7" x14ac:dyDescent="0.25">
      <c r="A150" s="255" t="s">
        <v>1</v>
      </c>
      <c r="B150" s="255"/>
      <c r="C150" s="255"/>
      <c r="D150" s="255"/>
      <c r="E150" s="39">
        <f>E135+E137+E144+E149</f>
        <v>0</v>
      </c>
      <c r="F150" s="39">
        <f>F144+F149+F137+F135</f>
        <v>485898.93</v>
      </c>
      <c r="G150" s="39">
        <f>E150+F150</f>
        <v>485898.93</v>
      </c>
    </row>
    <row r="151" spans="1:7" x14ac:dyDescent="0.25">
      <c r="A151" s="266" t="s">
        <v>33</v>
      </c>
      <c r="B151" s="266"/>
      <c r="C151" s="266"/>
      <c r="D151" s="266"/>
      <c r="E151" s="266"/>
      <c r="F151" s="266"/>
      <c r="G151" s="266"/>
    </row>
    <row r="152" spans="1:7" x14ac:dyDescent="0.25">
      <c r="A152" s="12"/>
      <c r="B152" s="12"/>
      <c r="C152" s="11"/>
      <c r="D152" s="12"/>
      <c r="E152" s="108"/>
      <c r="F152" s="108"/>
      <c r="G152" s="108"/>
    </row>
    <row r="153" spans="1:7" x14ac:dyDescent="0.25">
      <c r="A153" s="258" t="s">
        <v>152</v>
      </c>
      <c r="B153" s="258"/>
      <c r="C153" s="258"/>
      <c r="D153" s="258"/>
      <c r="E153" s="258"/>
      <c r="F153" s="258"/>
      <c r="G153" s="258"/>
    </row>
    <row r="154" spans="1:7" ht="38.25" x14ac:dyDescent="0.25">
      <c r="A154" s="13" t="s">
        <v>27</v>
      </c>
      <c r="B154" s="13" t="s">
        <v>28</v>
      </c>
      <c r="C154" s="13" t="s">
        <v>29</v>
      </c>
      <c r="D154" s="13" t="s">
        <v>2</v>
      </c>
      <c r="E154" s="14" t="s">
        <v>157</v>
      </c>
      <c r="F154" s="14" t="s">
        <v>158</v>
      </c>
      <c r="G154" s="14" t="s">
        <v>159</v>
      </c>
    </row>
    <row r="155" spans="1:7" x14ac:dyDescent="0.25">
      <c r="A155" s="15">
        <v>1</v>
      </c>
      <c r="B155" s="254" t="s">
        <v>80</v>
      </c>
      <c r="C155" s="254"/>
      <c r="D155" s="254"/>
      <c r="E155" s="254"/>
      <c r="F155" s="254"/>
      <c r="G155" s="254"/>
    </row>
    <row r="156" spans="1:7" x14ac:dyDescent="0.25">
      <c r="A156" s="253" t="s">
        <v>22</v>
      </c>
      <c r="B156" s="253"/>
      <c r="C156" s="253"/>
      <c r="D156" s="16"/>
      <c r="E156" s="106">
        <v>0</v>
      </c>
      <c r="F156" s="106">
        <v>0</v>
      </c>
      <c r="G156" s="18">
        <v>0</v>
      </c>
    </row>
    <row r="157" spans="1:7" x14ac:dyDescent="0.25">
      <c r="A157" s="15">
        <v>2</v>
      </c>
      <c r="B157" s="254" t="s">
        <v>81</v>
      </c>
      <c r="C157" s="254"/>
      <c r="D157" s="254"/>
      <c r="E157" s="254"/>
      <c r="F157" s="254"/>
      <c r="G157" s="254"/>
    </row>
    <row r="158" spans="1:7" x14ac:dyDescent="0.25">
      <c r="A158" s="253" t="s">
        <v>22</v>
      </c>
      <c r="B158" s="253"/>
      <c r="C158" s="253"/>
      <c r="D158" s="16"/>
      <c r="E158" s="107">
        <f>0</f>
        <v>0</v>
      </c>
      <c r="F158" s="107">
        <f>0</f>
        <v>0</v>
      </c>
      <c r="G158" s="20">
        <f>G157</f>
        <v>0</v>
      </c>
    </row>
    <row r="159" spans="1:7" x14ac:dyDescent="0.25">
      <c r="A159" s="15">
        <v>3</v>
      </c>
      <c r="B159" s="254" t="s">
        <v>82</v>
      </c>
      <c r="C159" s="254"/>
      <c r="D159" s="254"/>
      <c r="E159" s="254"/>
      <c r="F159" s="254"/>
      <c r="G159" s="254"/>
    </row>
    <row r="160" spans="1:7" x14ac:dyDescent="0.25">
      <c r="A160" s="86" t="s">
        <v>4</v>
      </c>
      <c r="B160" s="33" t="s">
        <v>161</v>
      </c>
      <c r="C160" s="96" t="s">
        <v>162</v>
      </c>
      <c r="D160" s="86" t="s">
        <v>160</v>
      </c>
      <c r="E160" s="28">
        <v>0</v>
      </c>
      <c r="F160" s="28">
        <v>13057.87</v>
      </c>
      <c r="G160" s="28">
        <f>SUM(E160:F160)</f>
        <v>13057.87</v>
      </c>
    </row>
    <row r="161" spans="1:7" x14ac:dyDescent="0.25">
      <c r="A161" s="89" t="s">
        <v>5</v>
      </c>
      <c r="B161" s="34" t="s">
        <v>13</v>
      </c>
      <c r="C161" s="88" t="s">
        <v>14</v>
      </c>
      <c r="D161" s="89" t="s">
        <v>21</v>
      </c>
      <c r="E161" s="23">
        <v>0</v>
      </c>
      <c r="F161" s="28">
        <v>5803.4</v>
      </c>
      <c r="G161" s="23">
        <f t="shared" ref="G161:G164" si="8">SUM(E161:F161)</f>
        <v>5803.4</v>
      </c>
    </row>
    <row r="162" spans="1:7" x14ac:dyDescent="0.25">
      <c r="A162" s="94" t="s">
        <v>6</v>
      </c>
      <c r="B162" s="87" t="s">
        <v>10</v>
      </c>
      <c r="C162" s="96" t="s">
        <v>11</v>
      </c>
      <c r="D162" s="86"/>
      <c r="E162" s="28">
        <v>0</v>
      </c>
      <c r="F162" s="28">
        <v>37044.6</v>
      </c>
      <c r="G162" s="28">
        <f t="shared" si="8"/>
        <v>37044.6</v>
      </c>
    </row>
    <row r="163" spans="1:7" x14ac:dyDescent="0.25">
      <c r="A163" s="89">
        <v>34</v>
      </c>
      <c r="B163" s="34" t="s">
        <v>163</v>
      </c>
      <c r="C163" s="99" t="s">
        <v>164</v>
      </c>
      <c r="D163" s="89"/>
      <c r="E163" s="23">
        <v>0</v>
      </c>
      <c r="F163" s="28">
        <v>100320</v>
      </c>
      <c r="G163" s="23">
        <f t="shared" si="8"/>
        <v>100320</v>
      </c>
    </row>
    <row r="164" spans="1:7" x14ac:dyDescent="0.25">
      <c r="A164" s="95" t="s">
        <v>23</v>
      </c>
      <c r="B164" s="33" t="s">
        <v>0</v>
      </c>
      <c r="C164" s="96" t="s">
        <v>31</v>
      </c>
      <c r="D164" s="95"/>
      <c r="E164" s="28">
        <v>0</v>
      </c>
      <c r="F164" s="28">
        <v>296948.84000000003</v>
      </c>
      <c r="G164" s="28">
        <f t="shared" si="8"/>
        <v>296948.84000000003</v>
      </c>
    </row>
    <row r="165" spans="1:7" x14ac:dyDescent="0.25">
      <c r="A165" s="253" t="s">
        <v>22</v>
      </c>
      <c r="B165" s="253"/>
      <c r="C165" s="253"/>
      <c r="D165" s="16"/>
      <c r="E165" s="106">
        <f>SUM(E160:E164)</f>
        <v>0</v>
      </c>
      <c r="F165" s="106">
        <f>SUM(F160:F164)</f>
        <v>453174.71</v>
      </c>
      <c r="G165" s="18">
        <f>SUM(G159:G164)</f>
        <v>453174.71</v>
      </c>
    </row>
    <row r="166" spans="1:7" x14ac:dyDescent="0.25">
      <c r="A166" s="15">
        <v>4</v>
      </c>
      <c r="B166" s="254" t="s">
        <v>83</v>
      </c>
      <c r="C166" s="254"/>
      <c r="D166" s="254"/>
      <c r="E166" s="254"/>
      <c r="F166" s="254"/>
      <c r="G166" s="254"/>
    </row>
    <row r="167" spans="1:7" x14ac:dyDescent="0.25">
      <c r="A167" s="253" t="s">
        <v>22</v>
      </c>
      <c r="B167" s="253"/>
      <c r="C167" s="253"/>
      <c r="D167" s="16"/>
      <c r="E167" s="106">
        <v>0</v>
      </c>
      <c r="F167" s="106">
        <v>0</v>
      </c>
      <c r="G167" s="18">
        <v>0</v>
      </c>
    </row>
    <row r="168" spans="1:7" x14ac:dyDescent="0.25">
      <c r="A168" s="15">
        <v>5</v>
      </c>
      <c r="B168" s="267" t="s">
        <v>84</v>
      </c>
      <c r="C168" s="268"/>
      <c r="D168" s="268"/>
      <c r="E168" s="268"/>
      <c r="F168" s="268"/>
      <c r="G168" s="269"/>
    </row>
    <row r="169" spans="1:7" x14ac:dyDescent="0.25">
      <c r="A169" s="89" t="s">
        <v>32</v>
      </c>
      <c r="B169" s="34" t="s">
        <v>3</v>
      </c>
      <c r="C169" s="88" t="s">
        <v>19</v>
      </c>
      <c r="D169" s="89"/>
      <c r="E169" s="23">
        <v>0</v>
      </c>
      <c r="F169" s="23">
        <v>29148.720000000001</v>
      </c>
      <c r="G169" s="23">
        <f>SUM(E169:F169)</f>
        <v>29148.720000000001</v>
      </c>
    </row>
    <row r="170" spans="1:7" x14ac:dyDescent="0.25">
      <c r="A170" s="253" t="s">
        <v>22</v>
      </c>
      <c r="B170" s="253"/>
      <c r="C170" s="253"/>
      <c r="D170" s="16"/>
      <c r="E170" s="106">
        <f>E169</f>
        <v>0</v>
      </c>
      <c r="F170" s="106">
        <f>F169</f>
        <v>29148.720000000001</v>
      </c>
      <c r="G170" s="18">
        <f>E170+F170</f>
        <v>29148.720000000001</v>
      </c>
    </row>
    <row r="171" spans="1:7" x14ac:dyDescent="0.25">
      <c r="A171" s="255" t="s">
        <v>1</v>
      </c>
      <c r="B171" s="255"/>
      <c r="C171" s="255"/>
      <c r="D171" s="255"/>
      <c r="E171" s="39">
        <f>E156+E158+E165+E170</f>
        <v>0</v>
      </c>
      <c r="F171" s="39">
        <f>F165+F170+F158+F156</f>
        <v>482323.43000000005</v>
      </c>
      <c r="G171" s="39">
        <f>E171+F171</f>
        <v>482323.43000000005</v>
      </c>
    </row>
    <row r="172" spans="1:7" x14ac:dyDescent="0.25">
      <c r="A172" s="266" t="s">
        <v>33</v>
      </c>
      <c r="B172" s="266"/>
      <c r="C172" s="266"/>
      <c r="D172" s="266"/>
      <c r="E172" s="266"/>
      <c r="F172" s="266"/>
      <c r="G172" s="266"/>
    </row>
    <row r="173" spans="1:7" x14ac:dyDescent="0.25">
      <c r="A173" s="12"/>
      <c r="B173" s="12"/>
      <c r="C173" s="11"/>
      <c r="D173" s="12"/>
      <c r="E173" s="108"/>
      <c r="F173" s="108"/>
      <c r="G173" s="108"/>
    </row>
    <row r="174" spans="1:7" x14ac:dyDescent="0.25">
      <c r="A174" s="258" t="s">
        <v>153</v>
      </c>
      <c r="B174" s="258"/>
      <c r="C174" s="258"/>
      <c r="D174" s="258"/>
      <c r="E174" s="258"/>
      <c r="F174" s="258"/>
      <c r="G174" s="258"/>
    </row>
    <row r="175" spans="1:7" ht="38.25" x14ac:dyDescent="0.25">
      <c r="A175" s="13" t="s">
        <v>27</v>
      </c>
      <c r="B175" s="13" t="s">
        <v>28</v>
      </c>
      <c r="C175" s="13" t="s">
        <v>29</v>
      </c>
      <c r="D175" s="13" t="s">
        <v>2</v>
      </c>
      <c r="E175" s="14" t="s">
        <v>157</v>
      </c>
      <c r="F175" s="14" t="s">
        <v>158</v>
      </c>
      <c r="G175" s="14" t="s">
        <v>159</v>
      </c>
    </row>
    <row r="176" spans="1:7" x14ac:dyDescent="0.25">
      <c r="A176" s="15">
        <v>1</v>
      </c>
      <c r="B176" s="254" t="s">
        <v>80</v>
      </c>
      <c r="C176" s="254"/>
      <c r="D176" s="254"/>
      <c r="E176" s="254"/>
      <c r="F176" s="254"/>
      <c r="G176" s="254"/>
    </row>
    <row r="177" spans="1:7" x14ac:dyDescent="0.25">
      <c r="A177" s="253" t="s">
        <v>22</v>
      </c>
      <c r="B177" s="253"/>
      <c r="C177" s="253"/>
      <c r="D177" s="16"/>
      <c r="E177" s="106">
        <f>0</f>
        <v>0</v>
      </c>
      <c r="F177" s="106">
        <v>0</v>
      </c>
      <c r="G177" s="18">
        <v>0</v>
      </c>
    </row>
    <row r="178" spans="1:7" x14ac:dyDescent="0.25">
      <c r="A178" s="15">
        <v>2</v>
      </c>
      <c r="B178" s="254" t="s">
        <v>81</v>
      </c>
      <c r="C178" s="254"/>
      <c r="D178" s="254"/>
      <c r="E178" s="254"/>
      <c r="F178" s="254"/>
      <c r="G178" s="254"/>
    </row>
    <row r="179" spans="1:7" x14ac:dyDescent="0.25">
      <c r="A179" s="253" t="s">
        <v>22</v>
      </c>
      <c r="B179" s="253"/>
      <c r="C179" s="253"/>
      <c r="D179" s="16"/>
      <c r="E179" s="107">
        <f>0</f>
        <v>0</v>
      </c>
      <c r="F179" s="107">
        <f>0</f>
        <v>0</v>
      </c>
      <c r="G179" s="20">
        <f>G178</f>
        <v>0</v>
      </c>
    </row>
    <row r="180" spans="1:7" x14ac:dyDescent="0.25">
      <c r="A180" s="15">
        <v>3</v>
      </c>
      <c r="B180" s="254" t="s">
        <v>82</v>
      </c>
      <c r="C180" s="254"/>
      <c r="D180" s="254"/>
      <c r="E180" s="254"/>
      <c r="F180" s="254"/>
      <c r="G180" s="254"/>
    </row>
    <row r="181" spans="1:7" x14ac:dyDescent="0.25">
      <c r="A181" s="86" t="s">
        <v>4</v>
      </c>
      <c r="B181" s="33" t="s">
        <v>161</v>
      </c>
      <c r="C181" s="96" t="s">
        <v>162</v>
      </c>
      <c r="D181" s="86" t="s">
        <v>17</v>
      </c>
      <c r="E181" s="28">
        <v>0</v>
      </c>
      <c r="F181" s="28">
        <v>13057.87</v>
      </c>
      <c r="G181" s="28">
        <f>SUM(E181:F181)</f>
        <v>13057.87</v>
      </c>
    </row>
    <row r="182" spans="1:7" x14ac:dyDescent="0.25">
      <c r="A182" s="89" t="s">
        <v>5</v>
      </c>
      <c r="B182" s="34" t="s">
        <v>163</v>
      </c>
      <c r="C182" s="99" t="s">
        <v>164</v>
      </c>
      <c r="D182" s="89" t="s">
        <v>160</v>
      </c>
      <c r="E182" s="23">
        <v>0</v>
      </c>
      <c r="F182" s="28">
        <v>84816</v>
      </c>
      <c r="G182" s="23">
        <f t="shared" ref="G182:G185" si="9">SUM(E182:F182)</f>
        <v>84816</v>
      </c>
    </row>
    <row r="183" spans="1:7" x14ac:dyDescent="0.25">
      <c r="A183" s="95" t="s">
        <v>6</v>
      </c>
      <c r="B183" s="96" t="s">
        <v>10</v>
      </c>
      <c r="C183" s="87" t="s">
        <v>11</v>
      </c>
      <c r="D183" s="86" t="s">
        <v>20</v>
      </c>
      <c r="E183" s="28">
        <v>0</v>
      </c>
      <c r="F183" s="28">
        <f>58781.1+24348.96</f>
        <v>83130.06</v>
      </c>
      <c r="G183" s="28">
        <f t="shared" si="9"/>
        <v>83130.06</v>
      </c>
    </row>
    <row r="184" spans="1:7" x14ac:dyDescent="0.25">
      <c r="A184" s="89" t="s">
        <v>18</v>
      </c>
      <c r="B184" s="34" t="s">
        <v>13</v>
      </c>
      <c r="C184" s="88" t="s">
        <v>14</v>
      </c>
      <c r="D184" s="89" t="s">
        <v>21</v>
      </c>
      <c r="E184" s="23">
        <v>0</v>
      </c>
      <c r="F184" s="28">
        <v>5090.6400000000003</v>
      </c>
      <c r="G184" s="23">
        <f t="shared" si="9"/>
        <v>5090.6400000000003</v>
      </c>
    </row>
    <row r="185" spans="1:7" x14ac:dyDescent="0.25">
      <c r="A185" s="86" t="s">
        <v>23</v>
      </c>
      <c r="B185" s="33" t="s">
        <v>0</v>
      </c>
      <c r="C185" s="87" t="s">
        <v>31</v>
      </c>
      <c r="D185" s="86"/>
      <c r="E185" s="28">
        <v>0</v>
      </c>
      <c r="F185" s="28">
        <v>303047.21999999997</v>
      </c>
      <c r="G185" s="28">
        <f t="shared" si="9"/>
        <v>303047.21999999997</v>
      </c>
    </row>
    <row r="186" spans="1:7" x14ac:dyDescent="0.25">
      <c r="A186" s="253" t="s">
        <v>22</v>
      </c>
      <c r="B186" s="253"/>
      <c r="C186" s="253"/>
      <c r="D186" s="16"/>
      <c r="E186" s="106">
        <f>SUM(E181:E185)</f>
        <v>0</v>
      </c>
      <c r="F186" s="106">
        <f>SUM(F181:F185)</f>
        <v>489141.79</v>
      </c>
      <c r="G186" s="18">
        <f>SUM(G180:G185)</f>
        <v>489141.79</v>
      </c>
    </row>
    <row r="187" spans="1:7" x14ac:dyDescent="0.25">
      <c r="A187" s="15">
        <v>4</v>
      </c>
      <c r="B187" s="254" t="s">
        <v>83</v>
      </c>
      <c r="C187" s="254"/>
      <c r="D187" s="254"/>
      <c r="E187" s="254"/>
      <c r="F187" s="254"/>
      <c r="G187" s="254"/>
    </row>
    <row r="188" spans="1:7" x14ac:dyDescent="0.25">
      <c r="A188" s="253" t="s">
        <v>22</v>
      </c>
      <c r="B188" s="253"/>
      <c r="C188" s="253"/>
      <c r="D188" s="16"/>
      <c r="E188" s="106">
        <v>0</v>
      </c>
      <c r="F188" s="106">
        <v>0</v>
      </c>
      <c r="G188" s="18">
        <v>0</v>
      </c>
    </row>
    <row r="189" spans="1:7" x14ac:dyDescent="0.25">
      <c r="A189" s="15">
        <v>5</v>
      </c>
      <c r="B189" s="267" t="s">
        <v>84</v>
      </c>
      <c r="C189" s="268"/>
      <c r="D189" s="268"/>
      <c r="E189" s="268"/>
      <c r="F189" s="268"/>
      <c r="G189" s="269"/>
    </row>
    <row r="190" spans="1:7" x14ac:dyDescent="0.25">
      <c r="A190" s="89" t="s">
        <v>32</v>
      </c>
      <c r="B190" s="34" t="s">
        <v>3</v>
      </c>
      <c r="C190" s="88" t="s">
        <v>19</v>
      </c>
      <c r="D190" s="89"/>
      <c r="E190" s="23">
        <v>0</v>
      </c>
      <c r="F190" s="23">
        <v>36386.78</v>
      </c>
      <c r="G190" s="23">
        <f>SUM(E190:F190)</f>
        <v>36386.78</v>
      </c>
    </row>
    <row r="191" spans="1:7" x14ac:dyDescent="0.25">
      <c r="A191" s="253" t="s">
        <v>22</v>
      </c>
      <c r="B191" s="253"/>
      <c r="C191" s="253"/>
      <c r="D191" s="16"/>
      <c r="E191" s="106">
        <f>E190</f>
        <v>0</v>
      </c>
      <c r="F191" s="106">
        <f>F190</f>
        <v>36386.78</v>
      </c>
      <c r="G191" s="18">
        <f>E191+F191</f>
        <v>36386.78</v>
      </c>
    </row>
    <row r="192" spans="1:7" x14ac:dyDescent="0.25">
      <c r="A192" s="255" t="s">
        <v>1</v>
      </c>
      <c r="B192" s="255"/>
      <c r="C192" s="255"/>
      <c r="D192" s="255"/>
      <c r="E192" s="39">
        <f>E177+E179+E186+E191</f>
        <v>0</v>
      </c>
      <c r="F192" s="39">
        <f>F186+F191+F179+F177</f>
        <v>525528.56999999995</v>
      </c>
      <c r="G192" s="39">
        <f>E192+F192</f>
        <v>525528.56999999995</v>
      </c>
    </row>
    <row r="193" spans="1:7" x14ac:dyDescent="0.25">
      <c r="A193" s="266" t="s">
        <v>33</v>
      </c>
      <c r="B193" s="266"/>
      <c r="C193" s="266"/>
      <c r="D193" s="266"/>
      <c r="E193" s="266"/>
      <c r="F193" s="266"/>
      <c r="G193" s="266"/>
    </row>
    <row r="194" spans="1:7" x14ac:dyDescent="0.25">
      <c r="A194" s="12"/>
      <c r="B194" s="12"/>
      <c r="C194" s="11"/>
      <c r="D194" s="12"/>
      <c r="E194" s="108"/>
      <c r="F194" s="108"/>
      <c r="G194" s="108"/>
    </row>
    <row r="195" spans="1:7" x14ac:dyDescent="0.25">
      <c r="A195" s="258" t="s">
        <v>154</v>
      </c>
      <c r="B195" s="258"/>
      <c r="C195" s="258"/>
      <c r="D195" s="258"/>
      <c r="E195" s="258"/>
      <c r="F195" s="258"/>
      <c r="G195" s="258"/>
    </row>
    <row r="196" spans="1:7" ht="38.25" x14ac:dyDescent="0.25">
      <c r="A196" s="13" t="s">
        <v>27</v>
      </c>
      <c r="B196" s="13" t="s">
        <v>28</v>
      </c>
      <c r="C196" s="13" t="s">
        <v>29</v>
      </c>
      <c r="D196" s="13" t="s">
        <v>2</v>
      </c>
      <c r="E196" s="14" t="s">
        <v>157</v>
      </c>
      <c r="F196" s="14" t="s">
        <v>158</v>
      </c>
      <c r="G196" s="14" t="s">
        <v>159</v>
      </c>
    </row>
    <row r="197" spans="1:7" x14ac:dyDescent="0.25">
      <c r="A197" s="15">
        <v>1</v>
      </c>
      <c r="B197" s="254" t="s">
        <v>80</v>
      </c>
      <c r="C197" s="254"/>
      <c r="D197" s="254"/>
      <c r="E197" s="254"/>
      <c r="F197" s="254"/>
      <c r="G197" s="254"/>
    </row>
    <row r="198" spans="1:7" x14ac:dyDescent="0.25">
      <c r="A198" s="253" t="s">
        <v>22</v>
      </c>
      <c r="B198" s="253"/>
      <c r="C198" s="253"/>
      <c r="D198" s="16"/>
      <c r="E198" s="106">
        <v>0</v>
      </c>
      <c r="F198" s="106">
        <v>0</v>
      </c>
      <c r="G198" s="18">
        <v>0</v>
      </c>
    </row>
    <row r="199" spans="1:7" x14ac:dyDescent="0.25">
      <c r="A199" s="15">
        <v>2</v>
      </c>
      <c r="B199" s="254" t="s">
        <v>81</v>
      </c>
      <c r="C199" s="254"/>
      <c r="D199" s="254"/>
      <c r="E199" s="254"/>
      <c r="F199" s="254"/>
      <c r="G199" s="254"/>
    </row>
    <row r="200" spans="1:7" x14ac:dyDescent="0.25">
      <c r="A200" s="253" t="s">
        <v>22</v>
      </c>
      <c r="B200" s="253"/>
      <c r="C200" s="253"/>
      <c r="D200" s="16"/>
      <c r="E200" s="107">
        <f>0</f>
        <v>0</v>
      </c>
      <c r="F200" s="107">
        <f>0</f>
        <v>0</v>
      </c>
      <c r="G200" s="20">
        <f>G199</f>
        <v>0</v>
      </c>
    </row>
    <row r="201" spans="1:7" x14ac:dyDescent="0.25">
      <c r="A201" s="15">
        <v>3</v>
      </c>
      <c r="B201" s="254" t="s">
        <v>82</v>
      </c>
      <c r="C201" s="254"/>
      <c r="D201" s="254"/>
      <c r="E201" s="254"/>
      <c r="F201" s="254"/>
      <c r="G201" s="254"/>
    </row>
    <row r="202" spans="1:7" x14ac:dyDescent="0.25">
      <c r="A202" s="98" t="s">
        <v>4</v>
      </c>
      <c r="B202" s="34" t="s">
        <v>161</v>
      </c>
      <c r="C202" s="99" t="s">
        <v>162</v>
      </c>
      <c r="D202" s="98" t="s">
        <v>160</v>
      </c>
      <c r="E202" s="23">
        <v>0</v>
      </c>
      <c r="F202" s="23">
        <v>13057.87</v>
      </c>
      <c r="G202" s="23">
        <f>SUM(E202:F202)</f>
        <v>13057.87</v>
      </c>
    </row>
    <row r="203" spans="1:7" x14ac:dyDescent="0.25">
      <c r="A203" s="95" t="s">
        <v>5</v>
      </c>
      <c r="B203" s="96" t="s">
        <v>10</v>
      </c>
      <c r="C203" s="87" t="s">
        <v>11</v>
      </c>
      <c r="D203" s="86" t="s">
        <v>20</v>
      </c>
      <c r="E203" s="28">
        <v>0</v>
      </c>
      <c r="F203" s="23">
        <v>42346.5</v>
      </c>
      <c r="G203" s="28">
        <f t="shared" ref="G203:G205" si="10">SUM(E203:F203)</f>
        <v>42346.5</v>
      </c>
    </row>
    <row r="204" spans="1:7" x14ac:dyDescent="0.25">
      <c r="A204" s="98" t="s">
        <v>18</v>
      </c>
      <c r="B204" s="34" t="s">
        <v>0</v>
      </c>
      <c r="C204" s="99" t="s">
        <v>31</v>
      </c>
      <c r="D204" s="98"/>
      <c r="E204" s="23">
        <v>0</v>
      </c>
      <c r="F204" s="23">
        <v>258654.44</v>
      </c>
      <c r="G204" s="23">
        <f t="shared" si="10"/>
        <v>258654.44</v>
      </c>
    </row>
    <row r="205" spans="1:7" x14ac:dyDescent="0.25">
      <c r="A205" s="95" t="s">
        <v>23</v>
      </c>
      <c r="B205" s="33" t="s">
        <v>13</v>
      </c>
      <c r="C205" s="96" t="s">
        <v>14</v>
      </c>
      <c r="D205" s="95"/>
      <c r="E205" s="28">
        <v>0</v>
      </c>
      <c r="F205" s="28">
        <v>4505.5200000000004</v>
      </c>
      <c r="G205" s="28">
        <f t="shared" si="10"/>
        <v>4505.5200000000004</v>
      </c>
    </row>
    <row r="206" spans="1:7" x14ac:dyDescent="0.25">
      <c r="A206" s="253" t="s">
        <v>22</v>
      </c>
      <c r="B206" s="253"/>
      <c r="C206" s="253"/>
      <c r="D206" s="16"/>
      <c r="E206" s="106">
        <f>SUM(E202:E205)</f>
        <v>0</v>
      </c>
      <c r="F206" s="106">
        <f>SUM(F202:F205)</f>
        <v>318564.33</v>
      </c>
      <c r="G206" s="18">
        <f>SUM(G201:G205)</f>
        <v>318564.33</v>
      </c>
    </row>
    <row r="207" spans="1:7" x14ac:dyDescent="0.25">
      <c r="A207" s="15">
        <v>4</v>
      </c>
      <c r="B207" s="254" t="s">
        <v>83</v>
      </c>
      <c r="C207" s="254"/>
      <c r="D207" s="254"/>
      <c r="E207" s="254"/>
      <c r="F207" s="254"/>
      <c r="G207" s="254"/>
    </row>
    <row r="208" spans="1:7" x14ac:dyDescent="0.25">
      <c r="A208" s="253" t="s">
        <v>22</v>
      </c>
      <c r="B208" s="253"/>
      <c r="C208" s="253"/>
      <c r="D208" s="16"/>
      <c r="E208" s="106">
        <v>0</v>
      </c>
      <c r="F208" s="106">
        <v>0</v>
      </c>
      <c r="G208" s="18">
        <v>0</v>
      </c>
    </row>
    <row r="209" spans="1:7" x14ac:dyDescent="0.25">
      <c r="A209" s="15">
        <v>5</v>
      </c>
      <c r="B209" s="267" t="s">
        <v>84</v>
      </c>
      <c r="C209" s="268"/>
      <c r="D209" s="268"/>
      <c r="E209" s="268"/>
      <c r="F209" s="268"/>
      <c r="G209" s="269"/>
    </row>
    <row r="210" spans="1:7" x14ac:dyDescent="0.25">
      <c r="A210" s="89" t="s">
        <v>32</v>
      </c>
      <c r="B210" s="34" t="s">
        <v>3</v>
      </c>
      <c r="C210" s="88" t="s">
        <v>19</v>
      </c>
      <c r="D210" s="89"/>
      <c r="E210" s="23">
        <v>0</v>
      </c>
      <c r="F210" s="23">
        <v>30187.48</v>
      </c>
      <c r="G210" s="23">
        <f>SUM(E210:F210)</f>
        <v>30187.48</v>
      </c>
    </row>
    <row r="211" spans="1:7" x14ac:dyDescent="0.25">
      <c r="A211" s="253" t="s">
        <v>22</v>
      </c>
      <c r="B211" s="253"/>
      <c r="C211" s="253"/>
      <c r="D211" s="16"/>
      <c r="E211" s="106">
        <f>E210</f>
        <v>0</v>
      </c>
      <c r="F211" s="106">
        <f>F210</f>
        <v>30187.48</v>
      </c>
      <c r="G211" s="18">
        <f>E211+F211</f>
        <v>30187.48</v>
      </c>
    </row>
    <row r="212" spans="1:7" x14ac:dyDescent="0.25">
      <c r="A212" s="255" t="s">
        <v>1</v>
      </c>
      <c r="B212" s="255"/>
      <c r="C212" s="255"/>
      <c r="D212" s="255"/>
      <c r="E212" s="39">
        <f>E198+E200+E206+E211</f>
        <v>0</v>
      </c>
      <c r="F212" s="39">
        <f>F206+F211+F200+F198+F208</f>
        <v>348751.81</v>
      </c>
      <c r="G212" s="39">
        <f>E212+F212</f>
        <v>348751.81</v>
      </c>
    </row>
    <row r="213" spans="1:7" x14ac:dyDescent="0.25">
      <c r="A213" s="266" t="s">
        <v>33</v>
      </c>
      <c r="B213" s="266"/>
      <c r="C213" s="266"/>
      <c r="D213" s="266"/>
      <c r="E213" s="266"/>
      <c r="F213" s="266"/>
      <c r="G213" s="266"/>
    </row>
    <row r="214" spans="1:7" x14ac:dyDescent="0.25">
      <c r="A214" s="12"/>
      <c r="B214" s="12"/>
      <c r="C214" s="11"/>
      <c r="D214" s="12"/>
      <c r="E214" s="108"/>
      <c r="F214" s="108"/>
      <c r="G214" s="108"/>
    </row>
    <row r="215" spans="1:7" x14ac:dyDescent="0.25">
      <c r="A215" s="258" t="s">
        <v>155</v>
      </c>
      <c r="B215" s="258"/>
      <c r="C215" s="258"/>
      <c r="D215" s="258"/>
      <c r="E215" s="258"/>
      <c r="F215" s="258"/>
      <c r="G215" s="258"/>
    </row>
    <row r="216" spans="1:7" ht="38.25" x14ac:dyDescent="0.25">
      <c r="A216" s="13" t="s">
        <v>27</v>
      </c>
      <c r="B216" s="13" t="s">
        <v>28</v>
      </c>
      <c r="C216" s="13" t="s">
        <v>29</v>
      </c>
      <c r="D216" s="13" t="s">
        <v>2</v>
      </c>
      <c r="E216" s="14" t="s">
        <v>157</v>
      </c>
      <c r="F216" s="14" t="s">
        <v>158</v>
      </c>
      <c r="G216" s="14" t="s">
        <v>159</v>
      </c>
    </row>
    <row r="217" spans="1:7" x14ac:dyDescent="0.25">
      <c r="A217" s="15">
        <v>1</v>
      </c>
      <c r="B217" s="254" t="s">
        <v>80</v>
      </c>
      <c r="C217" s="254"/>
      <c r="D217" s="254"/>
      <c r="E217" s="254"/>
      <c r="F217" s="254"/>
      <c r="G217" s="254"/>
    </row>
    <row r="218" spans="1:7" x14ac:dyDescent="0.25">
      <c r="A218" s="253" t="s">
        <v>22</v>
      </c>
      <c r="B218" s="253"/>
      <c r="C218" s="253"/>
      <c r="D218" s="16"/>
      <c r="E218" s="106">
        <f>0</f>
        <v>0</v>
      </c>
      <c r="F218" s="106">
        <v>0</v>
      </c>
      <c r="G218" s="18">
        <v>0</v>
      </c>
    </row>
    <row r="219" spans="1:7" x14ac:dyDescent="0.25">
      <c r="A219" s="15">
        <v>2</v>
      </c>
      <c r="B219" s="254" t="s">
        <v>81</v>
      </c>
      <c r="C219" s="254"/>
      <c r="D219" s="254"/>
      <c r="E219" s="254"/>
      <c r="F219" s="254"/>
      <c r="G219" s="254"/>
    </row>
    <row r="220" spans="1:7" x14ac:dyDescent="0.25">
      <c r="A220" s="253" t="s">
        <v>22</v>
      </c>
      <c r="B220" s="253"/>
      <c r="C220" s="253"/>
      <c r="D220" s="16"/>
      <c r="E220" s="107">
        <f>0</f>
        <v>0</v>
      </c>
      <c r="F220" s="107">
        <f>0</f>
        <v>0</v>
      </c>
      <c r="G220" s="20">
        <f>G219</f>
        <v>0</v>
      </c>
    </row>
    <row r="221" spans="1:7" x14ac:dyDescent="0.25">
      <c r="A221" s="15">
        <v>3</v>
      </c>
      <c r="B221" s="254" t="s">
        <v>82</v>
      </c>
      <c r="C221" s="254"/>
      <c r="D221" s="254"/>
      <c r="E221" s="254"/>
      <c r="F221" s="254"/>
      <c r="G221" s="254"/>
    </row>
    <row r="222" spans="1:7" x14ac:dyDescent="0.25">
      <c r="A222" s="89" t="s">
        <v>4</v>
      </c>
      <c r="B222" s="34" t="s">
        <v>163</v>
      </c>
      <c r="C222" s="99" t="s">
        <v>164</v>
      </c>
      <c r="D222" s="89" t="s">
        <v>160</v>
      </c>
      <c r="E222" s="23">
        <v>0</v>
      </c>
      <c r="F222" s="23">
        <v>71412</v>
      </c>
      <c r="G222" s="23">
        <f>SUM(E222:F222)</f>
        <v>71412</v>
      </c>
    </row>
    <row r="223" spans="1:7" x14ac:dyDescent="0.25">
      <c r="A223" s="86" t="s">
        <v>5</v>
      </c>
      <c r="B223" s="87" t="s">
        <v>10</v>
      </c>
      <c r="C223" s="87" t="s">
        <v>11</v>
      </c>
      <c r="D223" s="86" t="s">
        <v>20</v>
      </c>
      <c r="E223" s="23">
        <v>0</v>
      </c>
      <c r="F223" s="23">
        <v>21720.95</v>
      </c>
      <c r="G223" s="23">
        <f t="shared" ref="G223:G226" si="11">SUM(E223:F223)</f>
        <v>21720.95</v>
      </c>
    </row>
    <row r="224" spans="1:7" x14ac:dyDescent="0.25">
      <c r="A224" s="89" t="s">
        <v>6</v>
      </c>
      <c r="B224" s="34" t="s">
        <v>161</v>
      </c>
      <c r="C224" s="99" t="s">
        <v>162</v>
      </c>
      <c r="D224" s="89" t="s">
        <v>21</v>
      </c>
      <c r="E224" s="23">
        <v>0</v>
      </c>
      <c r="F224" s="23">
        <v>13057.87</v>
      </c>
      <c r="G224" s="23">
        <f t="shared" si="11"/>
        <v>13057.87</v>
      </c>
    </row>
    <row r="225" spans="1:7" x14ac:dyDescent="0.25">
      <c r="A225" s="86" t="s">
        <v>18</v>
      </c>
      <c r="B225" s="33" t="s">
        <v>74</v>
      </c>
      <c r="C225" s="87" t="s">
        <v>31</v>
      </c>
      <c r="D225" s="86"/>
      <c r="E225" s="23">
        <v>0</v>
      </c>
      <c r="F225" s="23">
        <v>440063.62</v>
      </c>
      <c r="G225" s="23">
        <f t="shared" si="11"/>
        <v>440063.62</v>
      </c>
    </row>
    <row r="226" spans="1:7" x14ac:dyDescent="0.25">
      <c r="A226" s="89" t="s">
        <v>23</v>
      </c>
      <c r="B226" s="34" t="s">
        <v>13</v>
      </c>
      <c r="C226" s="88" t="s">
        <v>14</v>
      </c>
      <c r="D226" s="89"/>
      <c r="E226" s="23">
        <v>0</v>
      </c>
      <c r="F226" s="23">
        <v>6375.73</v>
      </c>
      <c r="G226" s="23">
        <f t="shared" si="11"/>
        <v>6375.73</v>
      </c>
    </row>
    <row r="227" spans="1:7" x14ac:dyDescent="0.25">
      <c r="A227" s="253" t="s">
        <v>22</v>
      </c>
      <c r="B227" s="253"/>
      <c r="C227" s="253"/>
      <c r="D227" s="16"/>
      <c r="E227" s="106">
        <f>SUM(E222:E225)</f>
        <v>0</v>
      </c>
      <c r="F227" s="106">
        <f>SUM(F222:F226)</f>
        <v>552630.16999999993</v>
      </c>
      <c r="G227" s="18">
        <f>SUM(G221:G226)</f>
        <v>552630.16999999993</v>
      </c>
    </row>
    <row r="228" spans="1:7" x14ac:dyDescent="0.25">
      <c r="A228" s="15">
        <v>4</v>
      </c>
      <c r="B228" s="254" t="s">
        <v>83</v>
      </c>
      <c r="C228" s="254"/>
      <c r="D228" s="254"/>
      <c r="E228" s="254"/>
      <c r="F228" s="254"/>
      <c r="G228" s="254"/>
    </row>
    <row r="229" spans="1:7" x14ac:dyDescent="0.25">
      <c r="A229" s="253" t="s">
        <v>22</v>
      </c>
      <c r="B229" s="253"/>
      <c r="C229" s="253"/>
      <c r="D229" s="16"/>
      <c r="E229" s="106">
        <v>0</v>
      </c>
      <c r="F229" s="106">
        <v>0</v>
      </c>
      <c r="G229" s="18">
        <v>0</v>
      </c>
    </row>
    <row r="230" spans="1:7" x14ac:dyDescent="0.25">
      <c r="A230" s="15">
        <v>5</v>
      </c>
      <c r="B230" s="267" t="s">
        <v>84</v>
      </c>
      <c r="C230" s="268"/>
      <c r="D230" s="268"/>
      <c r="E230" s="268"/>
      <c r="F230" s="268"/>
      <c r="G230" s="269"/>
    </row>
    <row r="231" spans="1:7" x14ac:dyDescent="0.25">
      <c r="A231" s="89" t="s">
        <v>32</v>
      </c>
      <c r="B231" s="34" t="s">
        <v>3</v>
      </c>
      <c r="C231" s="88" t="s">
        <v>19</v>
      </c>
      <c r="D231" s="89"/>
      <c r="E231" s="23">
        <v>0</v>
      </c>
      <c r="F231" s="23">
        <v>29481.26</v>
      </c>
      <c r="G231" s="23">
        <f>SUM(E231:F231)</f>
        <v>29481.26</v>
      </c>
    </row>
    <row r="232" spans="1:7" x14ac:dyDescent="0.25">
      <c r="A232" s="253" t="s">
        <v>22</v>
      </c>
      <c r="B232" s="253"/>
      <c r="C232" s="253"/>
      <c r="D232" s="16"/>
      <c r="E232" s="106">
        <f>E231</f>
        <v>0</v>
      </c>
      <c r="F232" s="106">
        <f>F231</f>
        <v>29481.26</v>
      </c>
      <c r="G232" s="18">
        <f>E232+F232</f>
        <v>29481.26</v>
      </c>
    </row>
    <row r="233" spans="1:7" x14ac:dyDescent="0.25">
      <c r="A233" s="255" t="s">
        <v>1</v>
      </c>
      <c r="B233" s="255"/>
      <c r="C233" s="255"/>
      <c r="D233" s="255"/>
      <c r="E233" s="39">
        <f>E218+E220+E227+E232</f>
        <v>0</v>
      </c>
      <c r="F233" s="39">
        <f>F227+F232+F220+F218+F229</f>
        <v>582111.42999999993</v>
      </c>
      <c r="G233" s="39">
        <f>E233+F233</f>
        <v>582111.42999999993</v>
      </c>
    </row>
    <row r="234" spans="1:7" x14ac:dyDescent="0.25">
      <c r="A234" s="266" t="s">
        <v>33</v>
      </c>
      <c r="B234" s="266"/>
      <c r="C234" s="266"/>
      <c r="D234" s="266"/>
      <c r="E234" s="266"/>
      <c r="F234" s="266"/>
      <c r="G234" s="266"/>
    </row>
    <row r="235" spans="1:7" x14ac:dyDescent="0.25">
      <c r="A235" s="12"/>
      <c r="B235" s="12"/>
      <c r="C235" s="11"/>
      <c r="D235" s="12"/>
      <c r="E235" s="108"/>
      <c r="F235" s="108"/>
      <c r="G235" s="108"/>
    </row>
    <row r="236" spans="1:7" x14ac:dyDescent="0.25">
      <c r="A236" s="258" t="s">
        <v>156</v>
      </c>
      <c r="B236" s="258"/>
      <c r="C236" s="258"/>
      <c r="D236" s="258"/>
      <c r="E236" s="258"/>
      <c r="F236" s="258"/>
      <c r="G236" s="258"/>
    </row>
    <row r="237" spans="1:7" ht="38.25" x14ac:dyDescent="0.25">
      <c r="A237" s="13" t="s">
        <v>27</v>
      </c>
      <c r="B237" s="13" t="s">
        <v>28</v>
      </c>
      <c r="C237" s="13" t="s">
        <v>29</v>
      </c>
      <c r="D237" s="13" t="s">
        <v>2</v>
      </c>
      <c r="E237" s="14" t="s">
        <v>157</v>
      </c>
      <c r="F237" s="14" t="s">
        <v>158</v>
      </c>
      <c r="G237" s="14" t="s">
        <v>159</v>
      </c>
    </row>
    <row r="238" spans="1:7" x14ac:dyDescent="0.25">
      <c r="A238" s="15">
        <v>1</v>
      </c>
      <c r="B238" s="254" t="s">
        <v>80</v>
      </c>
      <c r="C238" s="254"/>
      <c r="D238" s="254"/>
      <c r="E238" s="254"/>
      <c r="F238" s="254"/>
      <c r="G238" s="254"/>
    </row>
    <row r="239" spans="1:7" x14ac:dyDescent="0.25">
      <c r="A239" s="253" t="s">
        <v>22</v>
      </c>
      <c r="B239" s="253"/>
      <c r="C239" s="253"/>
      <c r="D239" s="16"/>
      <c r="E239" s="106">
        <v>0</v>
      </c>
      <c r="F239" s="106">
        <v>0</v>
      </c>
      <c r="G239" s="106">
        <v>0</v>
      </c>
    </row>
    <row r="240" spans="1:7" x14ac:dyDescent="0.25">
      <c r="A240" s="15">
        <v>2</v>
      </c>
      <c r="B240" s="254" t="s">
        <v>81</v>
      </c>
      <c r="C240" s="254"/>
      <c r="D240" s="254"/>
      <c r="E240" s="254"/>
      <c r="F240" s="254"/>
      <c r="G240" s="254"/>
    </row>
    <row r="241" spans="1:7" x14ac:dyDescent="0.25">
      <c r="A241" s="253" t="s">
        <v>22</v>
      </c>
      <c r="B241" s="253"/>
      <c r="C241" s="253"/>
      <c r="D241" s="16"/>
      <c r="E241" s="107">
        <f>0</f>
        <v>0</v>
      </c>
      <c r="F241" s="107">
        <f>0</f>
        <v>0</v>
      </c>
      <c r="G241" s="20">
        <f>G240</f>
        <v>0</v>
      </c>
    </row>
    <row r="242" spans="1:7" x14ac:dyDescent="0.25">
      <c r="A242" s="15">
        <v>3</v>
      </c>
      <c r="B242" s="254" t="s">
        <v>82</v>
      </c>
      <c r="C242" s="254"/>
      <c r="D242" s="254"/>
      <c r="E242" s="254"/>
      <c r="F242" s="254"/>
      <c r="G242" s="254"/>
    </row>
    <row r="243" spans="1:7" x14ac:dyDescent="0.25">
      <c r="A243" s="50" t="s">
        <v>4</v>
      </c>
      <c r="B243" s="33" t="s">
        <v>163</v>
      </c>
      <c r="C243" s="96" t="s">
        <v>164</v>
      </c>
      <c r="D243" s="50"/>
      <c r="E243" s="53">
        <v>0</v>
      </c>
      <c r="F243" s="53">
        <f>15202.1+25102.4</f>
        <v>40304.5</v>
      </c>
      <c r="G243" s="53">
        <f>SUM(E243:F243)</f>
        <v>40304.5</v>
      </c>
    </row>
    <row r="244" spans="1:7" x14ac:dyDescent="0.25">
      <c r="A244" s="89" t="s">
        <v>5</v>
      </c>
      <c r="B244" s="34" t="s">
        <v>161</v>
      </c>
      <c r="C244" s="99" t="s">
        <v>162</v>
      </c>
      <c r="D244" s="89" t="s">
        <v>160</v>
      </c>
      <c r="E244" s="23">
        <v>0</v>
      </c>
      <c r="F244" s="53">
        <v>13057.87</v>
      </c>
      <c r="G244" s="23">
        <f t="shared" ref="G244:G247" si="12">SUM(E244:F244)</f>
        <v>13057.87</v>
      </c>
    </row>
    <row r="245" spans="1:7" x14ac:dyDescent="0.25">
      <c r="A245" s="95" t="s">
        <v>6</v>
      </c>
      <c r="B245" s="96" t="s">
        <v>10</v>
      </c>
      <c r="C245" s="87" t="s">
        <v>11</v>
      </c>
      <c r="D245" s="86" t="s">
        <v>20</v>
      </c>
      <c r="E245" s="53">
        <v>0</v>
      </c>
      <c r="F245" s="53">
        <v>33867.230000000003</v>
      </c>
      <c r="G245" s="53">
        <f t="shared" si="12"/>
        <v>33867.230000000003</v>
      </c>
    </row>
    <row r="246" spans="1:7" x14ac:dyDescent="0.25">
      <c r="A246" s="89" t="s">
        <v>18</v>
      </c>
      <c r="B246" s="34" t="s">
        <v>13</v>
      </c>
      <c r="C246" s="88" t="s">
        <v>14</v>
      </c>
      <c r="D246" s="89" t="s">
        <v>21</v>
      </c>
      <c r="E246" s="23">
        <v>0</v>
      </c>
      <c r="F246" s="53">
        <v>7546.74</v>
      </c>
      <c r="G246" s="23">
        <f t="shared" si="12"/>
        <v>7546.74</v>
      </c>
    </row>
    <row r="247" spans="1:7" x14ac:dyDescent="0.25">
      <c r="A247" s="86" t="s">
        <v>23</v>
      </c>
      <c r="B247" s="33" t="s">
        <v>74</v>
      </c>
      <c r="C247" s="87" t="s">
        <v>31</v>
      </c>
      <c r="D247" s="86"/>
      <c r="E247" s="53">
        <v>0</v>
      </c>
      <c r="F247" s="53">
        <v>260204.96</v>
      </c>
      <c r="G247" s="53">
        <f t="shared" si="12"/>
        <v>260204.96</v>
      </c>
    </row>
    <row r="248" spans="1:7" x14ac:dyDescent="0.25">
      <c r="A248" s="253" t="s">
        <v>22</v>
      </c>
      <c r="B248" s="253"/>
      <c r="C248" s="253"/>
      <c r="D248" s="16"/>
      <c r="E248" s="106">
        <f>SUM(E243:E247)</f>
        <v>0</v>
      </c>
      <c r="F248" s="106">
        <f>SUM(F243:F247)</f>
        <v>354981.3</v>
      </c>
      <c r="G248" s="18">
        <f>SUM(G242:G247)</f>
        <v>354981.3</v>
      </c>
    </row>
    <row r="249" spans="1:7" x14ac:dyDescent="0.25">
      <c r="A249" s="15">
        <v>4</v>
      </c>
      <c r="B249" s="254" t="s">
        <v>83</v>
      </c>
      <c r="C249" s="254"/>
      <c r="D249" s="254"/>
      <c r="E249" s="254"/>
      <c r="F249" s="254"/>
      <c r="G249" s="254"/>
    </row>
    <row r="250" spans="1:7" x14ac:dyDescent="0.25">
      <c r="A250" s="253" t="s">
        <v>22</v>
      </c>
      <c r="B250" s="253"/>
      <c r="C250" s="253"/>
      <c r="D250" s="16"/>
      <c r="E250" s="106">
        <v>0</v>
      </c>
      <c r="F250" s="106">
        <v>0</v>
      </c>
      <c r="G250" s="18">
        <v>0</v>
      </c>
    </row>
    <row r="251" spans="1:7" x14ac:dyDescent="0.25">
      <c r="A251" s="15">
        <v>5</v>
      </c>
      <c r="B251" s="267" t="s">
        <v>84</v>
      </c>
      <c r="C251" s="268"/>
      <c r="D251" s="268"/>
      <c r="E251" s="268"/>
      <c r="F251" s="268"/>
      <c r="G251" s="269"/>
    </row>
    <row r="252" spans="1:7" x14ac:dyDescent="0.25">
      <c r="A252" s="89" t="s">
        <v>32</v>
      </c>
      <c r="B252" s="34" t="s">
        <v>3</v>
      </c>
      <c r="C252" s="88" t="s">
        <v>19</v>
      </c>
      <c r="D252" s="89"/>
      <c r="E252" s="23">
        <v>0</v>
      </c>
      <c r="F252" s="23">
        <v>28971.43</v>
      </c>
      <c r="G252" s="23">
        <v>0</v>
      </c>
    </row>
    <row r="253" spans="1:7" x14ac:dyDescent="0.25">
      <c r="A253" s="253" t="s">
        <v>22</v>
      </c>
      <c r="B253" s="253"/>
      <c r="C253" s="253"/>
      <c r="D253" s="16"/>
      <c r="E253" s="106">
        <f>E252</f>
        <v>0</v>
      </c>
      <c r="F253" s="106">
        <f>F252</f>
        <v>28971.43</v>
      </c>
      <c r="G253" s="18">
        <f>E253+F253</f>
        <v>28971.43</v>
      </c>
    </row>
    <row r="254" spans="1:7" x14ac:dyDescent="0.25">
      <c r="A254" s="255" t="s">
        <v>1</v>
      </c>
      <c r="B254" s="255"/>
      <c r="C254" s="255"/>
      <c r="D254" s="255"/>
      <c r="E254" s="39">
        <f>E239+E241+E248+E253</f>
        <v>0</v>
      </c>
      <c r="F254" s="39">
        <f>F248+F253+F241+F239+F250</f>
        <v>383952.73</v>
      </c>
      <c r="G254" s="39">
        <f>E254+F254</f>
        <v>383952.73</v>
      </c>
    </row>
    <row r="255" spans="1:7" x14ac:dyDescent="0.25">
      <c r="A255" s="266" t="s">
        <v>33</v>
      </c>
      <c r="B255" s="266"/>
      <c r="C255" s="266"/>
      <c r="D255" s="266"/>
      <c r="E255" s="266"/>
      <c r="F255" s="266"/>
      <c r="G255" s="266"/>
    </row>
  </sheetData>
  <mergeCells count="160">
    <mergeCell ref="A255:G255"/>
    <mergeCell ref="B126:G126"/>
    <mergeCell ref="B147:G147"/>
    <mergeCell ref="B168:G168"/>
    <mergeCell ref="B189:G189"/>
    <mergeCell ref="B209:G209"/>
    <mergeCell ref="B230:G230"/>
    <mergeCell ref="B251:G251"/>
    <mergeCell ref="B47:G47"/>
    <mergeCell ref="B67:G67"/>
    <mergeCell ref="B87:G87"/>
    <mergeCell ref="B107:G107"/>
    <mergeCell ref="A52:G52"/>
    <mergeCell ref="B54:G54"/>
    <mergeCell ref="A55:C55"/>
    <mergeCell ref="B56:G56"/>
    <mergeCell ref="A57:C57"/>
    <mergeCell ref="B58:G58"/>
    <mergeCell ref="B75:G75"/>
    <mergeCell ref="A76:C76"/>
    <mergeCell ref="B77:G77"/>
    <mergeCell ref="A86:C86"/>
    <mergeCell ref="A89:C89"/>
    <mergeCell ref="A90:D90"/>
    <mergeCell ref="A11:C11"/>
    <mergeCell ref="B12:G12"/>
    <mergeCell ref="B14:G14"/>
    <mergeCell ref="A18:C18"/>
    <mergeCell ref="A2:G2"/>
    <mergeCell ref="A3:G3"/>
    <mergeCell ref="B4:G4"/>
    <mergeCell ref="A5:G5"/>
    <mergeCell ref="A7:G7"/>
    <mergeCell ref="B9:G9"/>
    <mergeCell ref="B29:G29"/>
    <mergeCell ref="A30:C30"/>
    <mergeCell ref="B31:G31"/>
    <mergeCell ref="A32:C32"/>
    <mergeCell ref="B33:G33"/>
    <mergeCell ref="B19:G19"/>
    <mergeCell ref="A20:C20"/>
    <mergeCell ref="B21:G21"/>
    <mergeCell ref="A23:C23"/>
    <mergeCell ref="A24:D24"/>
    <mergeCell ref="A27:G27"/>
    <mergeCell ref="A44:C44"/>
    <mergeCell ref="B45:G45"/>
    <mergeCell ref="A46:C46"/>
    <mergeCell ref="A48:C48"/>
    <mergeCell ref="A49:D49"/>
    <mergeCell ref="A50:G50"/>
    <mergeCell ref="A70:D70"/>
    <mergeCell ref="A71:G71"/>
    <mergeCell ref="A73:G73"/>
    <mergeCell ref="A64:C64"/>
    <mergeCell ref="B65:G65"/>
    <mergeCell ref="A66:C66"/>
    <mergeCell ref="A69:C69"/>
    <mergeCell ref="A96:C96"/>
    <mergeCell ref="B97:G97"/>
    <mergeCell ref="A98:C98"/>
    <mergeCell ref="B99:G99"/>
    <mergeCell ref="A123:C123"/>
    <mergeCell ref="A91:G91"/>
    <mergeCell ref="A93:G93"/>
    <mergeCell ref="B95:G95"/>
    <mergeCell ref="A78:C78"/>
    <mergeCell ref="B79:G79"/>
    <mergeCell ref="A84:C84"/>
    <mergeCell ref="B85:G85"/>
    <mergeCell ref="A104:C104"/>
    <mergeCell ref="B105:G105"/>
    <mergeCell ref="A113:G113"/>
    <mergeCell ref="B115:G115"/>
    <mergeCell ref="A116:C116"/>
    <mergeCell ref="B117:G117"/>
    <mergeCell ref="A118:C118"/>
    <mergeCell ref="B119:G119"/>
    <mergeCell ref="A106:C106"/>
    <mergeCell ref="A109:C109"/>
    <mergeCell ref="A110:D110"/>
    <mergeCell ref="A111:G111"/>
    <mergeCell ref="A129:D129"/>
    <mergeCell ref="A130:G130"/>
    <mergeCell ref="A132:G132"/>
    <mergeCell ref="B134:G134"/>
    <mergeCell ref="A135:C135"/>
    <mergeCell ref="B136:G136"/>
    <mergeCell ref="B124:G124"/>
    <mergeCell ref="A125:C125"/>
    <mergeCell ref="A128:C128"/>
    <mergeCell ref="A146:C146"/>
    <mergeCell ref="A149:C149"/>
    <mergeCell ref="A150:D150"/>
    <mergeCell ref="A151:G151"/>
    <mergeCell ref="A153:G153"/>
    <mergeCell ref="B155:G155"/>
    <mergeCell ref="A137:C137"/>
    <mergeCell ref="B138:G138"/>
    <mergeCell ref="A144:C144"/>
    <mergeCell ref="B145:G145"/>
    <mergeCell ref="A167:C167"/>
    <mergeCell ref="A170:C170"/>
    <mergeCell ref="A171:D171"/>
    <mergeCell ref="A172:G172"/>
    <mergeCell ref="A174:G174"/>
    <mergeCell ref="B176:G176"/>
    <mergeCell ref="A156:C156"/>
    <mergeCell ref="B157:G157"/>
    <mergeCell ref="A158:C158"/>
    <mergeCell ref="B159:G159"/>
    <mergeCell ref="A165:C165"/>
    <mergeCell ref="B166:G166"/>
    <mergeCell ref="A186:C186"/>
    <mergeCell ref="B187:G187"/>
    <mergeCell ref="A188:C188"/>
    <mergeCell ref="A191:C191"/>
    <mergeCell ref="A192:D192"/>
    <mergeCell ref="A193:G193"/>
    <mergeCell ref="A177:C177"/>
    <mergeCell ref="B178:G178"/>
    <mergeCell ref="A179:C179"/>
    <mergeCell ref="B180:G180"/>
    <mergeCell ref="B217:G217"/>
    <mergeCell ref="A218:C218"/>
    <mergeCell ref="B219:G219"/>
    <mergeCell ref="A206:C206"/>
    <mergeCell ref="B207:G207"/>
    <mergeCell ref="A208:C208"/>
    <mergeCell ref="A211:C211"/>
    <mergeCell ref="A195:G195"/>
    <mergeCell ref="B197:G197"/>
    <mergeCell ref="A198:C198"/>
    <mergeCell ref="B199:G199"/>
    <mergeCell ref="A200:C200"/>
    <mergeCell ref="B201:G201"/>
    <mergeCell ref="A250:C250"/>
    <mergeCell ref="A253:C253"/>
    <mergeCell ref="A254:D254"/>
    <mergeCell ref="A241:C241"/>
    <mergeCell ref="B242:G242"/>
    <mergeCell ref="A248:C248"/>
    <mergeCell ref="B249:G249"/>
    <mergeCell ref="A37:A38"/>
    <mergeCell ref="B37:B38"/>
    <mergeCell ref="A233:D233"/>
    <mergeCell ref="A234:G234"/>
    <mergeCell ref="A236:G236"/>
    <mergeCell ref="B238:G238"/>
    <mergeCell ref="A239:C239"/>
    <mergeCell ref="B240:G240"/>
    <mergeCell ref="A220:C220"/>
    <mergeCell ref="B221:G221"/>
    <mergeCell ref="A227:C227"/>
    <mergeCell ref="B228:G228"/>
    <mergeCell ref="A229:C229"/>
    <mergeCell ref="A232:C232"/>
    <mergeCell ref="A212:D212"/>
    <mergeCell ref="A213:G213"/>
    <mergeCell ref="A215:G21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2"/>
  <sheetViews>
    <sheetView workbookViewId="0">
      <selection activeCell="C244" sqref="C244"/>
    </sheetView>
  </sheetViews>
  <sheetFormatPr defaultRowHeight="15" x14ac:dyDescent="0.25"/>
  <cols>
    <col min="1" max="1" width="18.85546875" customWidth="1"/>
    <col min="2" max="2" width="57.5703125" bestFit="1" customWidth="1"/>
    <col min="3" max="3" width="44" bestFit="1" customWidth="1"/>
    <col min="4" max="4" width="11.5703125" hidden="1" customWidth="1"/>
    <col min="5" max="6" width="14.140625" bestFit="1" customWidth="1"/>
    <col min="7" max="7" width="13.5703125" bestFit="1" customWidth="1"/>
  </cols>
  <sheetData>
    <row r="1" spans="1:7" x14ac:dyDescent="0.25">
      <c r="A1" s="1"/>
      <c r="B1" s="1"/>
      <c r="C1" s="2"/>
      <c r="D1" s="1"/>
      <c r="E1" s="105"/>
      <c r="F1" s="105"/>
      <c r="G1" s="105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168</v>
      </c>
      <c r="B5" s="265"/>
      <c r="C5" s="265"/>
      <c r="D5" s="265"/>
      <c r="E5" s="265"/>
      <c r="F5" s="265"/>
      <c r="G5" s="265"/>
    </row>
    <row r="6" spans="1:7" ht="15.75" x14ac:dyDescent="0.25">
      <c r="A6" s="110"/>
      <c r="B6" s="110"/>
      <c r="C6" s="110"/>
      <c r="D6" s="110"/>
      <c r="E6" s="110"/>
      <c r="F6" s="110"/>
      <c r="G6" s="110"/>
    </row>
    <row r="7" spans="1:7" x14ac:dyDescent="0.25">
      <c r="A7" s="258" t="s">
        <v>169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181</v>
      </c>
      <c r="F8" s="14" t="s">
        <v>182</v>
      </c>
      <c r="G8" s="14" t="s">
        <v>183</v>
      </c>
    </row>
    <row r="9" spans="1:7" x14ac:dyDescent="0.25">
      <c r="A9" s="15">
        <v>1</v>
      </c>
      <c r="B9" s="254" t="s">
        <v>190</v>
      </c>
      <c r="C9" s="254"/>
      <c r="D9" s="254"/>
      <c r="E9" s="254"/>
      <c r="F9" s="254"/>
      <c r="G9" s="254"/>
    </row>
    <row r="10" spans="1:7" x14ac:dyDescent="0.25">
      <c r="A10" s="253" t="s">
        <v>22</v>
      </c>
      <c r="B10" s="253"/>
      <c r="C10" s="253"/>
      <c r="D10" s="16"/>
      <c r="E10" s="106">
        <v>0</v>
      </c>
      <c r="F10" s="106">
        <v>0</v>
      </c>
      <c r="G10" s="106">
        <f>E10+F10</f>
        <v>0</v>
      </c>
    </row>
    <row r="11" spans="1:7" x14ac:dyDescent="0.25">
      <c r="A11" s="15">
        <v>2</v>
      </c>
      <c r="B11" s="254" t="s">
        <v>191</v>
      </c>
      <c r="C11" s="254"/>
      <c r="D11" s="254"/>
      <c r="E11" s="254"/>
      <c r="F11" s="254"/>
      <c r="G11" s="254"/>
    </row>
    <row r="12" spans="1:7" x14ac:dyDescent="0.25">
      <c r="A12" s="81" t="s">
        <v>22</v>
      </c>
      <c r="B12" s="82"/>
      <c r="C12" s="83"/>
      <c r="D12" s="16"/>
      <c r="E12" s="107">
        <f>0</f>
        <v>0</v>
      </c>
      <c r="F12" s="107">
        <f>0</f>
        <v>0</v>
      </c>
      <c r="G12" s="20">
        <f>G11</f>
        <v>0</v>
      </c>
    </row>
    <row r="13" spans="1:7" x14ac:dyDescent="0.25">
      <c r="A13" s="15" t="s">
        <v>4</v>
      </c>
      <c r="B13" s="254" t="s">
        <v>82</v>
      </c>
      <c r="C13" s="254"/>
      <c r="D13" s="254"/>
      <c r="E13" s="254"/>
      <c r="F13" s="254"/>
      <c r="G13" s="254"/>
    </row>
    <row r="14" spans="1:7" x14ac:dyDescent="0.25">
      <c r="A14" s="111" t="s">
        <v>184</v>
      </c>
      <c r="B14" s="34" t="s">
        <v>74</v>
      </c>
      <c r="C14" s="114" t="s">
        <v>74</v>
      </c>
      <c r="D14" s="111"/>
      <c r="E14" s="23">
        <v>62396.76</v>
      </c>
      <c r="F14" s="23">
        <v>0</v>
      </c>
      <c r="G14" s="25">
        <f t="shared" ref="G14:G16" si="0">SUM(E14:F14)</f>
        <v>62396.76</v>
      </c>
    </row>
    <row r="15" spans="1:7" x14ac:dyDescent="0.25">
      <c r="A15" s="50" t="s">
        <v>185</v>
      </c>
      <c r="B15" s="113" t="s">
        <v>10</v>
      </c>
      <c r="C15" s="113" t="s">
        <v>11</v>
      </c>
      <c r="D15" s="50"/>
      <c r="E15" s="23">
        <v>31261.040000000001</v>
      </c>
      <c r="F15" s="23">
        <v>0</v>
      </c>
      <c r="G15" s="25">
        <f t="shared" si="0"/>
        <v>31261.040000000001</v>
      </c>
    </row>
    <row r="16" spans="1:7" x14ac:dyDescent="0.25">
      <c r="A16" s="111" t="s">
        <v>186</v>
      </c>
      <c r="B16" s="34" t="s">
        <v>163</v>
      </c>
      <c r="C16" s="114" t="s">
        <v>164</v>
      </c>
      <c r="D16" s="111"/>
      <c r="E16" s="23">
        <v>109714.8</v>
      </c>
      <c r="F16" s="23">
        <v>0</v>
      </c>
      <c r="G16" s="25">
        <f t="shared" si="0"/>
        <v>109714.8</v>
      </c>
    </row>
    <row r="17" spans="1:7" x14ac:dyDescent="0.25">
      <c r="A17" s="253" t="s">
        <v>22</v>
      </c>
      <c r="B17" s="253"/>
      <c r="C17" s="253"/>
      <c r="D17" s="16"/>
      <c r="E17" s="106">
        <f>SUM(E14:E16)</f>
        <v>203372.6</v>
      </c>
      <c r="F17" s="106">
        <f>SUM(F14:F16)</f>
        <v>0</v>
      </c>
      <c r="G17" s="18">
        <f>SUM(G13:G16)</f>
        <v>203372.6</v>
      </c>
    </row>
    <row r="18" spans="1:7" x14ac:dyDescent="0.25">
      <c r="A18" s="15">
        <v>4</v>
      </c>
      <c r="B18" s="254" t="s">
        <v>192</v>
      </c>
      <c r="C18" s="254"/>
      <c r="D18" s="254"/>
      <c r="E18" s="254"/>
      <c r="F18" s="254"/>
      <c r="G18" s="254"/>
    </row>
    <row r="19" spans="1:7" x14ac:dyDescent="0.25">
      <c r="A19" s="253" t="s">
        <v>22</v>
      </c>
      <c r="B19" s="253"/>
      <c r="C19" s="253"/>
      <c r="D19" s="16"/>
      <c r="E19" s="106">
        <v>0</v>
      </c>
      <c r="F19" s="106">
        <v>0</v>
      </c>
      <c r="G19" s="18">
        <v>0</v>
      </c>
    </row>
    <row r="20" spans="1:7" x14ac:dyDescent="0.25">
      <c r="A20" s="15">
        <v>5</v>
      </c>
      <c r="B20" s="267" t="s">
        <v>193</v>
      </c>
      <c r="C20" s="268"/>
      <c r="D20" s="268"/>
      <c r="E20" s="268"/>
      <c r="F20" s="268"/>
      <c r="G20" s="269"/>
    </row>
    <row r="21" spans="1:7" x14ac:dyDescent="0.25">
      <c r="A21" s="253" t="s">
        <v>22</v>
      </c>
      <c r="B21" s="253"/>
      <c r="C21" s="253"/>
      <c r="D21" s="16"/>
      <c r="E21" s="106">
        <v>0</v>
      </c>
      <c r="F21" s="106">
        <v>0</v>
      </c>
      <c r="G21" s="18">
        <f>SUM(E21:F21)</f>
        <v>0</v>
      </c>
    </row>
    <row r="22" spans="1:7" x14ac:dyDescent="0.25">
      <c r="A22" s="255" t="s">
        <v>1</v>
      </c>
      <c r="B22" s="255"/>
      <c r="C22" s="255"/>
      <c r="D22" s="255"/>
      <c r="E22" s="39">
        <f>E10+E12+E17+E21</f>
        <v>203372.6</v>
      </c>
      <c r="F22" s="39">
        <f>F17+F21+F10</f>
        <v>0</v>
      </c>
      <c r="G22" s="39">
        <f>E22+F22</f>
        <v>203372.6</v>
      </c>
    </row>
    <row r="23" spans="1:7" x14ac:dyDescent="0.25">
      <c r="A23" s="10" t="s">
        <v>33</v>
      </c>
      <c r="B23" s="10"/>
      <c r="C23" s="11"/>
      <c r="D23" s="12"/>
      <c r="E23" s="108"/>
      <c r="F23" s="108"/>
      <c r="G23" s="108"/>
    </row>
    <row r="24" spans="1:7" x14ac:dyDescent="0.25">
      <c r="A24" s="1"/>
      <c r="B24" s="1"/>
      <c r="C24" s="2"/>
      <c r="D24" s="1"/>
      <c r="E24" s="105"/>
      <c r="F24" s="105"/>
      <c r="G24" s="105"/>
    </row>
    <row r="25" spans="1:7" x14ac:dyDescent="0.25">
      <c r="A25" s="258" t="s">
        <v>170</v>
      </c>
      <c r="B25" s="258"/>
      <c r="C25" s="258"/>
      <c r="D25" s="258"/>
      <c r="E25" s="258"/>
      <c r="F25" s="258"/>
      <c r="G25" s="258"/>
    </row>
    <row r="26" spans="1:7" ht="38.25" x14ac:dyDescent="0.25">
      <c r="A26" s="13" t="s">
        <v>27</v>
      </c>
      <c r="B26" s="13" t="s">
        <v>28</v>
      </c>
      <c r="C26" s="13" t="s">
        <v>29</v>
      </c>
      <c r="D26" s="13" t="s">
        <v>2</v>
      </c>
      <c r="E26" s="14" t="s">
        <v>181</v>
      </c>
      <c r="F26" s="14" t="s">
        <v>182</v>
      </c>
      <c r="G26" s="14" t="s">
        <v>183</v>
      </c>
    </row>
    <row r="27" spans="1:7" x14ac:dyDescent="0.25">
      <c r="A27" s="15">
        <v>1</v>
      </c>
      <c r="B27" s="254" t="s">
        <v>190</v>
      </c>
      <c r="C27" s="254"/>
      <c r="D27" s="254"/>
      <c r="E27" s="254"/>
      <c r="F27" s="254"/>
      <c r="G27" s="254"/>
    </row>
    <row r="28" spans="1:7" x14ac:dyDescent="0.25">
      <c r="A28" s="253" t="s">
        <v>22</v>
      </c>
      <c r="B28" s="253"/>
      <c r="C28" s="253"/>
      <c r="D28" s="16"/>
      <c r="E28" s="106">
        <v>0</v>
      </c>
      <c r="F28" s="106">
        <v>0</v>
      </c>
      <c r="G28" s="106">
        <f>E28+F28</f>
        <v>0</v>
      </c>
    </row>
    <row r="29" spans="1:7" x14ac:dyDescent="0.25">
      <c r="A29" s="15">
        <v>2</v>
      </c>
      <c r="B29" s="254" t="s">
        <v>191</v>
      </c>
      <c r="C29" s="254"/>
      <c r="D29" s="254"/>
      <c r="E29" s="254"/>
      <c r="F29" s="254"/>
      <c r="G29" s="254"/>
    </row>
    <row r="30" spans="1:7" x14ac:dyDescent="0.25">
      <c r="A30" s="81" t="s">
        <v>22</v>
      </c>
      <c r="B30" s="82"/>
      <c r="C30" s="83"/>
      <c r="D30" s="16"/>
      <c r="E30" s="107">
        <f>0</f>
        <v>0</v>
      </c>
      <c r="F30" s="107">
        <f>0</f>
        <v>0</v>
      </c>
      <c r="G30" s="20">
        <f>G29</f>
        <v>0</v>
      </c>
    </row>
    <row r="31" spans="1:7" x14ac:dyDescent="0.25">
      <c r="A31" s="15">
        <v>3</v>
      </c>
      <c r="B31" s="254" t="s">
        <v>82</v>
      </c>
      <c r="C31" s="254"/>
      <c r="D31" s="254"/>
      <c r="E31" s="254"/>
      <c r="F31" s="254"/>
      <c r="G31" s="254"/>
    </row>
    <row r="32" spans="1:7" x14ac:dyDescent="0.25">
      <c r="A32" s="116" t="s">
        <v>4</v>
      </c>
      <c r="B32" s="34" t="s">
        <v>7</v>
      </c>
      <c r="C32" s="117" t="s">
        <v>162</v>
      </c>
      <c r="D32" s="111"/>
      <c r="E32" s="23">
        <v>12622.61</v>
      </c>
      <c r="F32" s="23">
        <v>0</v>
      </c>
      <c r="G32" s="25">
        <f t="shared" ref="G32" si="1">SUM(E32:F32)</f>
        <v>12622.61</v>
      </c>
    </row>
    <row r="33" spans="1:7" x14ac:dyDescent="0.25">
      <c r="A33" s="253" t="s">
        <v>22</v>
      </c>
      <c r="B33" s="253"/>
      <c r="C33" s="253"/>
      <c r="D33" s="16"/>
      <c r="E33" s="106">
        <f>SUM(E32:E32)</f>
        <v>12622.61</v>
      </c>
      <c r="F33" s="106">
        <f>SUM(F32:F32)</f>
        <v>0</v>
      </c>
      <c r="G33" s="18">
        <f>SUM(G31:G32)</f>
        <v>12622.61</v>
      </c>
    </row>
    <row r="34" spans="1:7" x14ac:dyDescent="0.25">
      <c r="A34" s="15">
        <v>4</v>
      </c>
      <c r="B34" s="254" t="s">
        <v>192</v>
      </c>
      <c r="C34" s="254"/>
      <c r="D34" s="254"/>
      <c r="E34" s="254"/>
      <c r="F34" s="254"/>
      <c r="G34" s="254"/>
    </row>
    <row r="35" spans="1:7" x14ac:dyDescent="0.25">
      <c r="A35" s="253" t="s">
        <v>22</v>
      </c>
      <c r="B35" s="253"/>
      <c r="C35" s="253"/>
      <c r="D35" s="16"/>
      <c r="E35" s="106">
        <v>0</v>
      </c>
      <c r="F35" s="106">
        <v>0</v>
      </c>
      <c r="G35" s="18">
        <v>0</v>
      </c>
    </row>
    <row r="36" spans="1:7" x14ac:dyDescent="0.25">
      <c r="A36" s="15">
        <v>5</v>
      </c>
      <c r="B36" s="267" t="s">
        <v>193</v>
      </c>
      <c r="C36" s="268"/>
      <c r="D36" s="268"/>
      <c r="E36" s="268"/>
      <c r="F36" s="268"/>
      <c r="G36" s="269"/>
    </row>
    <row r="37" spans="1:7" x14ac:dyDescent="0.25">
      <c r="A37" s="111" t="s">
        <v>32</v>
      </c>
      <c r="B37" s="34" t="s">
        <v>3</v>
      </c>
      <c r="C37" s="112" t="s">
        <v>19</v>
      </c>
      <c r="D37" s="111"/>
      <c r="E37" s="23">
        <v>0</v>
      </c>
      <c r="F37" s="23">
        <v>31077.25</v>
      </c>
      <c r="G37" s="23">
        <f>SUM(E37:F37)</f>
        <v>31077.25</v>
      </c>
    </row>
    <row r="38" spans="1:7" x14ac:dyDescent="0.25">
      <c r="A38" s="253" t="s">
        <v>22</v>
      </c>
      <c r="B38" s="253"/>
      <c r="C38" s="253"/>
      <c r="D38" s="16"/>
      <c r="E38" s="106">
        <f>E37</f>
        <v>0</v>
      </c>
      <c r="F38" s="106">
        <f>F37</f>
        <v>31077.25</v>
      </c>
      <c r="G38" s="18">
        <f>G37</f>
        <v>31077.25</v>
      </c>
    </row>
    <row r="39" spans="1:7" x14ac:dyDescent="0.25">
      <c r="A39" s="255" t="s">
        <v>1</v>
      </c>
      <c r="B39" s="255"/>
      <c r="C39" s="255"/>
      <c r="D39" s="255"/>
      <c r="E39" s="39">
        <f>E28+E30+E33+E38</f>
        <v>12622.61</v>
      </c>
      <c r="F39" s="39">
        <f>F33+F38+F28</f>
        <v>31077.25</v>
      </c>
      <c r="G39" s="39">
        <f>E39+F39</f>
        <v>43699.86</v>
      </c>
    </row>
    <row r="40" spans="1:7" x14ac:dyDescent="0.25">
      <c r="A40" s="266" t="s">
        <v>33</v>
      </c>
      <c r="B40" s="266"/>
      <c r="C40" s="266"/>
      <c r="D40" s="266"/>
      <c r="E40" s="266"/>
      <c r="F40" s="266"/>
      <c r="G40" s="266"/>
    </row>
    <row r="41" spans="1:7" x14ac:dyDescent="0.25">
      <c r="A41" s="12"/>
      <c r="B41" s="12"/>
      <c r="C41" s="11"/>
      <c r="D41" s="12"/>
      <c r="E41" s="108"/>
      <c r="F41" s="108"/>
      <c r="G41" s="108"/>
    </row>
    <row r="42" spans="1:7" x14ac:dyDescent="0.25">
      <c r="A42" s="258" t="s">
        <v>171</v>
      </c>
      <c r="B42" s="258"/>
      <c r="C42" s="258"/>
      <c r="D42" s="258"/>
      <c r="E42" s="258"/>
      <c r="F42" s="258"/>
      <c r="G42" s="258"/>
    </row>
    <row r="43" spans="1:7" ht="38.25" x14ac:dyDescent="0.25">
      <c r="A43" s="13" t="s">
        <v>27</v>
      </c>
      <c r="B43" s="13" t="s">
        <v>28</v>
      </c>
      <c r="C43" s="13" t="s">
        <v>29</v>
      </c>
      <c r="D43" s="13" t="s">
        <v>2</v>
      </c>
      <c r="E43" s="14" t="s">
        <v>181</v>
      </c>
      <c r="F43" s="14" t="s">
        <v>182</v>
      </c>
      <c r="G43" s="14" t="s">
        <v>183</v>
      </c>
    </row>
    <row r="44" spans="1:7" x14ac:dyDescent="0.25">
      <c r="A44" s="15">
        <v>1</v>
      </c>
      <c r="B44" s="254" t="s">
        <v>190</v>
      </c>
      <c r="C44" s="254"/>
      <c r="D44" s="254"/>
      <c r="E44" s="254"/>
      <c r="F44" s="254"/>
      <c r="G44" s="254"/>
    </row>
    <row r="45" spans="1:7" x14ac:dyDescent="0.25">
      <c r="A45" s="253" t="s">
        <v>22</v>
      </c>
      <c r="B45" s="253"/>
      <c r="C45" s="253"/>
      <c r="D45" s="16"/>
      <c r="E45" s="106">
        <v>0</v>
      </c>
      <c r="F45" s="106">
        <v>0</v>
      </c>
      <c r="G45" s="106">
        <f>E45+F45</f>
        <v>0</v>
      </c>
    </row>
    <row r="46" spans="1:7" x14ac:dyDescent="0.25">
      <c r="A46" s="15">
        <v>2</v>
      </c>
      <c r="B46" s="254" t="s">
        <v>191</v>
      </c>
      <c r="C46" s="254"/>
      <c r="D46" s="254"/>
      <c r="E46" s="254"/>
      <c r="F46" s="254"/>
      <c r="G46" s="254"/>
    </row>
    <row r="47" spans="1:7" x14ac:dyDescent="0.25">
      <c r="A47" s="81" t="s">
        <v>22</v>
      </c>
      <c r="B47" s="82"/>
      <c r="C47" s="83"/>
      <c r="D47" s="16"/>
      <c r="E47" s="107">
        <f>0</f>
        <v>0</v>
      </c>
      <c r="F47" s="107">
        <f>0</f>
        <v>0</v>
      </c>
      <c r="G47" s="20">
        <f>G46</f>
        <v>0</v>
      </c>
    </row>
    <row r="48" spans="1:7" x14ac:dyDescent="0.25">
      <c r="A48" s="15" t="s">
        <v>4</v>
      </c>
      <c r="B48" s="254" t="s">
        <v>187</v>
      </c>
      <c r="C48" s="254"/>
      <c r="D48" s="254"/>
      <c r="E48" s="254"/>
      <c r="F48" s="254"/>
      <c r="G48" s="254"/>
    </row>
    <row r="49" spans="1:7" x14ac:dyDescent="0.25">
      <c r="A49" s="111" t="s">
        <v>184</v>
      </c>
      <c r="B49" s="34" t="s">
        <v>74</v>
      </c>
      <c r="C49" s="112" t="s">
        <v>74</v>
      </c>
      <c r="D49" s="111"/>
      <c r="E49" s="23">
        <v>0</v>
      </c>
      <c r="F49" s="23">
        <v>173849.46</v>
      </c>
      <c r="G49" s="25">
        <f t="shared" ref="G49:G51" si="2">SUM(E49:F49)</f>
        <v>173849.46</v>
      </c>
    </row>
    <row r="50" spans="1:7" x14ac:dyDescent="0.25">
      <c r="A50" s="50" t="s">
        <v>185</v>
      </c>
      <c r="B50" s="109" t="s">
        <v>10</v>
      </c>
      <c r="C50" s="109" t="s">
        <v>11</v>
      </c>
      <c r="D50" s="50"/>
      <c r="E50" s="23">
        <v>0</v>
      </c>
      <c r="F50" s="23">
        <f>23888.79+41838.75</f>
        <v>65727.540000000008</v>
      </c>
      <c r="G50" s="25">
        <f t="shared" si="2"/>
        <v>65727.540000000008</v>
      </c>
    </row>
    <row r="51" spans="1:7" x14ac:dyDescent="0.25">
      <c r="A51" s="111" t="s">
        <v>186</v>
      </c>
      <c r="B51" s="34" t="s">
        <v>163</v>
      </c>
      <c r="C51" s="112" t="s">
        <v>164</v>
      </c>
      <c r="D51" s="111"/>
      <c r="E51" s="23">
        <v>0</v>
      </c>
      <c r="F51" s="23">
        <v>120102</v>
      </c>
      <c r="G51" s="25">
        <f t="shared" si="2"/>
        <v>120102</v>
      </c>
    </row>
    <row r="52" spans="1:7" x14ac:dyDescent="0.25">
      <c r="A52" s="253" t="s">
        <v>22</v>
      </c>
      <c r="B52" s="253"/>
      <c r="C52" s="253"/>
      <c r="D52" s="16"/>
      <c r="E52" s="106">
        <f>SUM(E49:E51)</f>
        <v>0</v>
      </c>
      <c r="F52" s="106">
        <f>SUM(F49:F51)</f>
        <v>359679</v>
      </c>
      <c r="G52" s="18">
        <f>SUM(G48:G51)</f>
        <v>359679</v>
      </c>
    </row>
    <row r="53" spans="1:7" x14ac:dyDescent="0.25">
      <c r="A53" s="15">
        <v>4</v>
      </c>
      <c r="B53" s="254" t="s">
        <v>192</v>
      </c>
      <c r="C53" s="254"/>
      <c r="D53" s="254"/>
      <c r="E53" s="254"/>
      <c r="F53" s="254"/>
      <c r="G53" s="254"/>
    </row>
    <row r="54" spans="1:7" x14ac:dyDescent="0.25">
      <c r="A54" s="253" t="s">
        <v>22</v>
      </c>
      <c r="B54" s="253"/>
      <c r="C54" s="253"/>
      <c r="D54" s="16"/>
      <c r="E54" s="106">
        <v>0</v>
      </c>
      <c r="F54" s="106">
        <v>0</v>
      </c>
      <c r="G54" s="18">
        <v>0</v>
      </c>
    </row>
    <row r="55" spans="1:7" x14ac:dyDescent="0.25">
      <c r="A55" s="15">
        <v>5</v>
      </c>
      <c r="B55" s="267" t="s">
        <v>193</v>
      </c>
      <c r="C55" s="268"/>
      <c r="D55" s="268"/>
      <c r="E55" s="268"/>
      <c r="F55" s="268"/>
      <c r="G55" s="269"/>
    </row>
    <row r="56" spans="1:7" x14ac:dyDescent="0.25">
      <c r="A56" s="111" t="s">
        <v>32</v>
      </c>
      <c r="B56" s="34" t="s">
        <v>3</v>
      </c>
      <c r="C56" s="112" t="s">
        <v>19</v>
      </c>
      <c r="D56" s="111"/>
      <c r="E56" s="23">
        <v>0</v>
      </c>
      <c r="F56" s="23">
        <v>19826.919999999998</v>
      </c>
      <c r="G56" s="23">
        <f>SUM(E56:F56)</f>
        <v>19826.919999999998</v>
      </c>
    </row>
    <row r="57" spans="1:7" x14ac:dyDescent="0.25">
      <c r="A57" s="253" t="s">
        <v>22</v>
      </c>
      <c r="B57" s="253"/>
      <c r="C57" s="253"/>
      <c r="D57" s="16"/>
      <c r="E57" s="106">
        <f>E56</f>
        <v>0</v>
      </c>
      <c r="F57" s="106">
        <f>F56</f>
        <v>19826.919999999998</v>
      </c>
      <c r="G57" s="18">
        <f>G56</f>
        <v>19826.919999999998</v>
      </c>
    </row>
    <row r="58" spans="1:7" x14ac:dyDescent="0.25">
      <c r="A58" s="255" t="s">
        <v>1</v>
      </c>
      <c r="B58" s="255"/>
      <c r="C58" s="255"/>
      <c r="D58" s="255"/>
      <c r="E58" s="39">
        <f>E45+E47+E52+E57</f>
        <v>0</v>
      </c>
      <c r="F58" s="39">
        <f>F52+F57+F45</f>
        <v>379505.91999999998</v>
      </c>
      <c r="G58" s="39">
        <f>E58+F58</f>
        <v>379505.91999999998</v>
      </c>
    </row>
    <row r="59" spans="1:7" x14ac:dyDescent="0.25">
      <c r="A59" s="266" t="s">
        <v>33</v>
      </c>
      <c r="B59" s="266"/>
      <c r="C59" s="266"/>
      <c r="D59" s="266"/>
      <c r="E59" s="266"/>
      <c r="F59" s="266"/>
      <c r="G59" s="266"/>
    </row>
    <row r="60" spans="1:7" x14ac:dyDescent="0.25">
      <c r="A60" s="12"/>
      <c r="B60" s="12"/>
      <c r="C60" s="11"/>
      <c r="D60" s="12"/>
      <c r="E60" s="108"/>
      <c r="F60" s="108"/>
      <c r="G60" s="108"/>
    </row>
    <row r="61" spans="1:7" x14ac:dyDescent="0.25">
      <c r="A61" s="258" t="s">
        <v>172</v>
      </c>
      <c r="B61" s="258"/>
      <c r="C61" s="258"/>
      <c r="D61" s="258"/>
      <c r="E61" s="258"/>
      <c r="F61" s="258"/>
      <c r="G61" s="258"/>
    </row>
    <row r="62" spans="1:7" ht="38.25" x14ac:dyDescent="0.25">
      <c r="A62" s="13" t="s">
        <v>27</v>
      </c>
      <c r="B62" s="13" t="s">
        <v>28</v>
      </c>
      <c r="C62" s="13" t="s">
        <v>29</v>
      </c>
      <c r="D62" s="13" t="s">
        <v>2</v>
      </c>
      <c r="E62" s="14" t="s">
        <v>181</v>
      </c>
      <c r="F62" s="14" t="s">
        <v>182</v>
      </c>
      <c r="G62" s="14" t="s">
        <v>183</v>
      </c>
    </row>
    <row r="63" spans="1:7" x14ac:dyDescent="0.25">
      <c r="A63" s="15">
        <v>1</v>
      </c>
      <c r="B63" s="254" t="s">
        <v>190</v>
      </c>
      <c r="C63" s="254"/>
      <c r="D63" s="254"/>
      <c r="E63" s="254"/>
      <c r="F63" s="254"/>
      <c r="G63" s="254"/>
    </row>
    <row r="64" spans="1:7" x14ac:dyDescent="0.25">
      <c r="A64" s="253" t="s">
        <v>22</v>
      </c>
      <c r="B64" s="253"/>
      <c r="C64" s="253"/>
      <c r="D64" s="16"/>
      <c r="E64" s="106">
        <v>0</v>
      </c>
      <c r="F64" s="106">
        <v>0</v>
      </c>
      <c r="G64" s="106">
        <f>E64+F64</f>
        <v>0</v>
      </c>
    </row>
    <row r="65" spans="1:7" x14ac:dyDescent="0.25">
      <c r="A65" s="15">
        <v>2</v>
      </c>
      <c r="B65" s="254" t="s">
        <v>191</v>
      </c>
      <c r="C65" s="254"/>
      <c r="D65" s="254"/>
      <c r="E65" s="254"/>
      <c r="F65" s="254"/>
      <c r="G65" s="254"/>
    </row>
    <row r="66" spans="1:7" x14ac:dyDescent="0.25">
      <c r="A66" s="81" t="s">
        <v>22</v>
      </c>
      <c r="B66" s="82"/>
      <c r="C66" s="83"/>
      <c r="D66" s="16"/>
      <c r="E66" s="107">
        <f>0</f>
        <v>0</v>
      </c>
      <c r="F66" s="107">
        <f>0</f>
        <v>0</v>
      </c>
      <c r="G66" s="20">
        <f>G65</f>
        <v>0</v>
      </c>
    </row>
    <row r="67" spans="1:7" x14ac:dyDescent="0.25">
      <c r="A67" s="15" t="s">
        <v>4</v>
      </c>
      <c r="B67" s="254" t="s">
        <v>187</v>
      </c>
      <c r="C67" s="254"/>
      <c r="D67" s="254"/>
      <c r="E67" s="254"/>
      <c r="F67" s="254"/>
      <c r="G67" s="254"/>
    </row>
    <row r="68" spans="1:7" x14ac:dyDescent="0.25">
      <c r="A68" s="111" t="s">
        <v>184</v>
      </c>
      <c r="B68" s="34" t="s">
        <v>74</v>
      </c>
      <c r="C68" s="112" t="s">
        <v>74</v>
      </c>
      <c r="D68" s="111"/>
      <c r="E68" s="23">
        <v>0</v>
      </c>
      <c r="F68" s="23">
        <v>322051.06</v>
      </c>
      <c r="G68" s="25">
        <f t="shared" ref="G68:G70" si="3">SUM(E68:F68)</f>
        <v>322051.06</v>
      </c>
    </row>
    <row r="69" spans="1:7" x14ac:dyDescent="0.25">
      <c r="A69" s="50" t="s">
        <v>185</v>
      </c>
      <c r="B69" s="109" t="s">
        <v>10</v>
      </c>
      <c r="C69" s="109" t="s">
        <v>11</v>
      </c>
      <c r="D69" s="50"/>
      <c r="E69" s="23">
        <v>0</v>
      </c>
      <c r="F69" s="23">
        <v>65575.25</v>
      </c>
      <c r="G69" s="25">
        <f t="shared" si="3"/>
        <v>65575.25</v>
      </c>
    </row>
    <row r="70" spans="1:7" x14ac:dyDescent="0.25">
      <c r="A70" s="111" t="s">
        <v>186</v>
      </c>
      <c r="B70" s="34" t="s">
        <v>163</v>
      </c>
      <c r="C70" s="112" t="s">
        <v>164</v>
      </c>
      <c r="D70" s="111"/>
      <c r="E70" s="23">
        <v>0</v>
      </c>
      <c r="F70" s="23">
        <f>88940.4+116856</f>
        <v>205796.4</v>
      </c>
      <c r="G70" s="25">
        <f t="shared" si="3"/>
        <v>205796.4</v>
      </c>
    </row>
    <row r="71" spans="1:7" x14ac:dyDescent="0.25">
      <c r="A71" s="15" t="s">
        <v>5</v>
      </c>
      <c r="B71" s="254" t="s">
        <v>82</v>
      </c>
      <c r="C71" s="254"/>
      <c r="D71" s="254"/>
      <c r="E71" s="254"/>
      <c r="F71" s="254"/>
      <c r="G71" s="254"/>
    </row>
    <row r="72" spans="1:7" x14ac:dyDescent="0.25">
      <c r="A72" s="111" t="s">
        <v>188</v>
      </c>
      <c r="B72" s="51" t="s">
        <v>13</v>
      </c>
      <c r="C72" s="52" t="s">
        <v>189</v>
      </c>
      <c r="D72" s="111"/>
      <c r="E72" s="23">
        <v>0</v>
      </c>
      <c r="F72" s="23">
        <v>23489.32</v>
      </c>
      <c r="G72" s="25">
        <f>SUM(E72:F72)</f>
        <v>23489.32</v>
      </c>
    </row>
    <row r="73" spans="1:7" x14ac:dyDescent="0.25">
      <c r="A73" s="253" t="s">
        <v>22</v>
      </c>
      <c r="B73" s="253"/>
      <c r="C73" s="253"/>
      <c r="D73" s="16"/>
      <c r="E73" s="106">
        <f>SUM(E68:E70)</f>
        <v>0</v>
      </c>
      <c r="F73" s="106">
        <f>F68+F69+F70+F72</f>
        <v>616912.02999999991</v>
      </c>
      <c r="G73" s="18">
        <f>G68+G69+G70+G72</f>
        <v>616912.02999999991</v>
      </c>
    </row>
    <row r="74" spans="1:7" x14ac:dyDescent="0.25">
      <c r="A74" s="15">
        <v>4</v>
      </c>
      <c r="B74" s="254" t="s">
        <v>192</v>
      </c>
      <c r="C74" s="254"/>
      <c r="D74" s="254"/>
      <c r="E74" s="254"/>
      <c r="F74" s="254"/>
      <c r="G74" s="254"/>
    </row>
    <row r="75" spans="1:7" x14ac:dyDescent="0.25">
      <c r="A75" s="253" t="s">
        <v>22</v>
      </c>
      <c r="B75" s="253"/>
      <c r="C75" s="253"/>
      <c r="D75" s="16"/>
      <c r="E75" s="106">
        <v>0</v>
      </c>
      <c r="F75" s="106">
        <v>0</v>
      </c>
      <c r="G75" s="18">
        <v>0</v>
      </c>
    </row>
    <row r="76" spans="1:7" x14ac:dyDescent="0.25">
      <c r="A76" s="15">
        <v>5</v>
      </c>
      <c r="B76" s="267" t="s">
        <v>193</v>
      </c>
      <c r="C76" s="268"/>
      <c r="D76" s="268"/>
      <c r="E76" s="268"/>
      <c r="F76" s="268"/>
      <c r="G76" s="269"/>
    </row>
    <row r="77" spans="1:7" x14ac:dyDescent="0.25">
      <c r="A77" s="111" t="s">
        <v>32</v>
      </c>
      <c r="B77" s="34" t="s">
        <v>3</v>
      </c>
      <c r="C77" s="112" t="s">
        <v>19</v>
      </c>
      <c r="D77" s="111"/>
      <c r="E77" s="23">
        <v>0</v>
      </c>
      <c r="F77" s="23">
        <v>26380.92</v>
      </c>
      <c r="G77" s="23">
        <f>SUM(E77:F77)</f>
        <v>26380.92</v>
      </c>
    </row>
    <row r="78" spans="1:7" x14ac:dyDescent="0.25">
      <c r="A78" s="253" t="s">
        <v>22</v>
      </c>
      <c r="B78" s="253"/>
      <c r="C78" s="253"/>
      <c r="D78" s="16"/>
      <c r="E78" s="106">
        <f>E77</f>
        <v>0</v>
      </c>
      <c r="F78" s="106">
        <f>F77</f>
        <v>26380.92</v>
      </c>
      <c r="G78" s="18">
        <f>G77</f>
        <v>26380.92</v>
      </c>
    </row>
    <row r="79" spans="1:7" x14ac:dyDescent="0.25">
      <c r="A79" s="255" t="s">
        <v>1</v>
      </c>
      <c r="B79" s="255"/>
      <c r="C79" s="255"/>
      <c r="D79" s="255"/>
      <c r="E79" s="39">
        <f>E64+E66+E73+E78</f>
        <v>0</v>
      </c>
      <c r="F79" s="39">
        <f>F73+F78+F64</f>
        <v>643292.94999999995</v>
      </c>
      <c r="G79" s="39">
        <f>E79+F79</f>
        <v>643292.94999999995</v>
      </c>
    </row>
    <row r="80" spans="1:7" s="1" customFormat="1" x14ac:dyDescent="0.25">
      <c r="A80" s="266" t="s">
        <v>33</v>
      </c>
      <c r="B80" s="266"/>
      <c r="C80" s="266"/>
      <c r="D80" s="266"/>
      <c r="E80" s="266"/>
      <c r="F80" s="266"/>
      <c r="G80" s="266"/>
    </row>
    <row r="81" spans="1:7" x14ac:dyDescent="0.25">
      <c r="A81" s="12"/>
      <c r="B81" s="12"/>
      <c r="C81" s="11"/>
      <c r="D81" s="12"/>
      <c r="E81" s="108"/>
      <c r="F81" s="108"/>
      <c r="G81" s="108"/>
    </row>
    <row r="82" spans="1:7" x14ac:dyDescent="0.25">
      <c r="A82" s="258" t="s">
        <v>173</v>
      </c>
      <c r="B82" s="258"/>
      <c r="C82" s="258"/>
      <c r="D82" s="258"/>
      <c r="E82" s="258"/>
      <c r="F82" s="258"/>
      <c r="G82" s="258"/>
    </row>
    <row r="83" spans="1:7" ht="38.25" x14ac:dyDescent="0.25">
      <c r="A83" s="13" t="s">
        <v>27</v>
      </c>
      <c r="B83" s="13" t="s">
        <v>28</v>
      </c>
      <c r="C83" s="13" t="s">
        <v>29</v>
      </c>
      <c r="D83" s="13" t="s">
        <v>2</v>
      </c>
      <c r="E83" s="14" t="s">
        <v>181</v>
      </c>
      <c r="F83" s="14" t="s">
        <v>182</v>
      </c>
      <c r="G83" s="14" t="s">
        <v>183</v>
      </c>
    </row>
    <row r="84" spans="1:7" x14ac:dyDescent="0.25">
      <c r="A84" s="15">
        <v>1</v>
      </c>
      <c r="B84" s="254" t="s">
        <v>190</v>
      </c>
      <c r="C84" s="254"/>
      <c r="D84" s="254"/>
      <c r="E84" s="254"/>
      <c r="F84" s="254"/>
      <c r="G84" s="254"/>
    </row>
    <row r="85" spans="1:7" x14ac:dyDescent="0.25">
      <c r="A85" s="253" t="s">
        <v>22</v>
      </c>
      <c r="B85" s="253"/>
      <c r="C85" s="253"/>
      <c r="D85" s="16"/>
      <c r="E85" s="106">
        <v>0</v>
      </c>
      <c r="F85" s="106">
        <v>0</v>
      </c>
      <c r="G85" s="106">
        <f>E85+F85</f>
        <v>0</v>
      </c>
    </row>
    <row r="86" spans="1:7" x14ac:dyDescent="0.25">
      <c r="A86" s="15">
        <v>2</v>
      </c>
      <c r="B86" s="254" t="s">
        <v>191</v>
      </c>
      <c r="C86" s="254"/>
      <c r="D86" s="254"/>
      <c r="E86" s="254"/>
      <c r="F86" s="254"/>
      <c r="G86" s="254"/>
    </row>
    <row r="87" spans="1:7" x14ac:dyDescent="0.25">
      <c r="A87" s="81" t="s">
        <v>22</v>
      </c>
      <c r="B87" s="82"/>
      <c r="C87" s="83"/>
      <c r="D87" s="16"/>
      <c r="E87" s="107">
        <f>0</f>
        <v>0</v>
      </c>
      <c r="F87" s="107">
        <f>0</f>
        <v>0</v>
      </c>
      <c r="G87" s="20">
        <f>G86</f>
        <v>0</v>
      </c>
    </row>
    <row r="88" spans="1:7" x14ac:dyDescent="0.25">
      <c r="A88" s="15" t="s">
        <v>4</v>
      </c>
      <c r="B88" s="254" t="s">
        <v>187</v>
      </c>
      <c r="C88" s="254"/>
      <c r="D88" s="254"/>
      <c r="E88" s="254"/>
      <c r="F88" s="254"/>
      <c r="G88" s="254"/>
    </row>
    <row r="89" spans="1:7" x14ac:dyDescent="0.25">
      <c r="A89" s="111" t="s">
        <v>184</v>
      </c>
      <c r="B89" s="34" t="s">
        <v>74</v>
      </c>
      <c r="C89" s="112" t="s">
        <v>74</v>
      </c>
      <c r="D89" s="111"/>
      <c r="E89" s="23">
        <v>0</v>
      </c>
      <c r="F89" s="23">
        <v>371134.53</v>
      </c>
      <c r="G89" s="25">
        <f t="shared" ref="G89" si="4">SUM(E89:F89)</f>
        <v>371134.53</v>
      </c>
    </row>
    <row r="90" spans="1:7" x14ac:dyDescent="0.25">
      <c r="A90" s="15" t="s">
        <v>5</v>
      </c>
      <c r="B90" s="254" t="s">
        <v>82</v>
      </c>
      <c r="C90" s="254"/>
      <c r="D90" s="254"/>
      <c r="E90" s="254"/>
      <c r="F90" s="254"/>
      <c r="G90" s="254"/>
    </row>
    <row r="91" spans="1:7" x14ac:dyDescent="0.25">
      <c r="A91" s="111" t="s">
        <v>188</v>
      </c>
      <c r="B91" s="51" t="s">
        <v>13</v>
      </c>
      <c r="C91" s="52" t="s">
        <v>189</v>
      </c>
      <c r="D91" s="111"/>
      <c r="E91" s="23">
        <v>0</v>
      </c>
      <c r="F91" s="23">
        <v>13005.5</v>
      </c>
      <c r="G91" s="25">
        <f>SUM(E91:F91)</f>
        <v>13005.5</v>
      </c>
    </row>
    <row r="92" spans="1:7" x14ac:dyDescent="0.25">
      <c r="A92" s="253" t="s">
        <v>22</v>
      </c>
      <c r="B92" s="253"/>
      <c r="C92" s="253"/>
      <c r="D92" s="16"/>
      <c r="E92" s="106">
        <f>SUM(E89:E89)</f>
        <v>0</v>
      </c>
      <c r="F92" s="106">
        <f>F89+F91</f>
        <v>384140.03</v>
      </c>
      <c r="G92" s="18">
        <f>G89+G91</f>
        <v>384140.03</v>
      </c>
    </row>
    <row r="93" spans="1:7" x14ac:dyDescent="0.25">
      <c r="A93" s="15">
        <v>4</v>
      </c>
      <c r="B93" s="254" t="s">
        <v>192</v>
      </c>
      <c r="C93" s="254"/>
      <c r="D93" s="254"/>
      <c r="E93" s="254"/>
      <c r="F93" s="254"/>
      <c r="G93" s="254"/>
    </row>
    <row r="94" spans="1:7" x14ac:dyDescent="0.25">
      <c r="A94" s="253" t="s">
        <v>22</v>
      </c>
      <c r="B94" s="253"/>
      <c r="C94" s="253"/>
      <c r="D94" s="16"/>
      <c r="E94" s="106">
        <v>0</v>
      </c>
      <c r="F94" s="106">
        <v>0</v>
      </c>
      <c r="G94" s="18">
        <v>0</v>
      </c>
    </row>
    <row r="95" spans="1:7" x14ac:dyDescent="0.25">
      <c r="A95" s="15">
        <v>5</v>
      </c>
      <c r="B95" s="267" t="s">
        <v>193</v>
      </c>
      <c r="C95" s="268"/>
      <c r="D95" s="268"/>
      <c r="E95" s="268"/>
      <c r="F95" s="268"/>
      <c r="G95" s="269"/>
    </row>
    <row r="96" spans="1:7" x14ac:dyDescent="0.25">
      <c r="A96" s="111" t="s">
        <v>32</v>
      </c>
      <c r="B96" s="34" t="s">
        <v>3</v>
      </c>
      <c r="C96" s="112" t="s">
        <v>19</v>
      </c>
      <c r="D96" s="111"/>
      <c r="E96" s="23">
        <v>0</v>
      </c>
      <c r="F96" s="23">
        <v>26847.59</v>
      </c>
      <c r="G96" s="23">
        <f>SUM(E96:F96)</f>
        <v>26847.59</v>
      </c>
    </row>
    <row r="97" spans="1:7" x14ac:dyDescent="0.25">
      <c r="A97" s="253" t="s">
        <v>22</v>
      </c>
      <c r="B97" s="253"/>
      <c r="C97" s="253"/>
      <c r="D97" s="16"/>
      <c r="E97" s="106">
        <f>E96</f>
        <v>0</v>
      </c>
      <c r="F97" s="106">
        <f>F96</f>
        <v>26847.59</v>
      </c>
      <c r="G97" s="18">
        <f>G96</f>
        <v>26847.59</v>
      </c>
    </row>
    <row r="98" spans="1:7" x14ac:dyDescent="0.25">
      <c r="A98" s="255" t="s">
        <v>1</v>
      </c>
      <c r="B98" s="255"/>
      <c r="C98" s="255"/>
      <c r="D98" s="255"/>
      <c r="E98" s="39">
        <f>E85+E87+E92+E97</f>
        <v>0</v>
      </c>
      <c r="F98" s="39">
        <f>F92+F97+F85</f>
        <v>410987.62000000005</v>
      </c>
      <c r="G98" s="39">
        <f>E98+F98</f>
        <v>410987.62000000005</v>
      </c>
    </row>
    <row r="99" spans="1:7" s="1" customFormat="1" x14ac:dyDescent="0.25">
      <c r="A99" s="266" t="s">
        <v>33</v>
      </c>
      <c r="B99" s="266"/>
      <c r="C99" s="266"/>
      <c r="D99" s="266"/>
      <c r="E99" s="266"/>
      <c r="F99" s="266"/>
      <c r="G99" s="266"/>
    </row>
    <row r="100" spans="1:7" x14ac:dyDescent="0.25">
      <c r="A100" s="12"/>
      <c r="B100" s="12"/>
      <c r="C100" s="11"/>
      <c r="D100" s="12"/>
      <c r="E100" s="108"/>
      <c r="F100" s="108"/>
      <c r="G100" s="108"/>
    </row>
    <row r="101" spans="1:7" x14ac:dyDescent="0.25">
      <c r="A101" s="258" t="s">
        <v>174</v>
      </c>
      <c r="B101" s="258"/>
      <c r="C101" s="258"/>
      <c r="D101" s="258"/>
      <c r="E101" s="258"/>
      <c r="F101" s="258"/>
      <c r="G101" s="258"/>
    </row>
    <row r="102" spans="1:7" ht="38.25" x14ac:dyDescent="0.25">
      <c r="A102" s="13" t="s">
        <v>27</v>
      </c>
      <c r="B102" s="13" t="s">
        <v>28</v>
      </c>
      <c r="C102" s="13" t="s">
        <v>29</v>
      </c>
      <c r="D102" s="13" t="s">
        <v>2</v>
      </c>
      <c r="E102" s="14" t="s">
        <v>181</v>
      </c>
      <c r="F102" s="14" t="s">
        <v>182</v>
      </c>
      <c r="G102" s="14" t="s">
        <v>183</v>
      </c>
    </row>
    <row r="103" spans="1:7" x14ac:dyDescent="0.25">
      <c r="A103" s="15">
        <v>1</v>
      </c>
      <c r="B103" s="254" t="s">
        <v>190</v>
      </c>
      <c r="C103" s="254"/>
      <c r="D103" s="254"/>
      <c r="E103" s="254"/>
      <c r="F103" s="254"/>
      <c r="G103" s="254"/>
    </row>
    <row r="104" spans="1:7" x14ac:dyDescent="0.25">
      <c r="A104" s="253" t="s">
        <v>22</v>
      </c>
      <c r="B104" s="253"/>
      <c r="C104" s="253"/>
      <c r="D104" s="16"/>
      <c r="E104" s="106">
        <v>0</v>
      </c>
      <c r="F104" s="106">
        <v>0</v>
      </c>
      <c r="G104" s="106">
        <f>E104+F104</f>
        <v>0</v>
      </c>
    </row>
    <row r="105" spans="1:7" x14ac:dyDescent="0.25">
      <c r="A105" s="15">
        <v>2</v>
      </c>
      <c r="B105" s="254" t="s">
        <v>191</v>
      </c>
      <c r="C105" s="254"/>
      <c r="D105" s="254"/>
      <c r="E105" s="254"/>
      <c r="F105" s="254"/>
      <c r="G105" s="254"/>
    </row>
    <row r="106" spans="1:7" x14ac:dyDescent="0.25">
      <c r="A106" s="81" t="s">
        <v>22</v>
      </c>
      <c r="B106" s="82"/>
      <c r="C106" s="83"/>
      <c r="D106" s="16"/>
      <c r="E106" s="107">
        <f>0</f>
        <v>0</v>
      </c>
      <c r="F106" s="107">
        <f>0</f>
        <v>0</v>
      </c>
      <c r="G106" s="20">
        <f>G105</f>
        <v>0</v>
      </c>
    </row>
    <row r="107" spans="1:7" x14ac:dyDescent="0.25">
      <c r="A107" s="15" t="s">
        <v>4</v>
      </c>
      <c r="B107" s="254" t="s">
        <v>187</v>
      </c>
      <c r="C107" s="254"/>
      <c r="D107" s="254"/>
      <c r="E107" s="254"/>
      <c r="F107" s="254"/>
      <c r="G107" s="254"/>
    </row>
    <row r="108" spans="1:7" x14ac:dyDescent="0.25">
      <c r="A108" s="111" t="s">
        <v>184</v>
      </c>
      <c r="B108" s="34" t="s">
        <v>74</v>
      </c>
      <c r="C108" s="112" t="s">
        <v>74</v>
      </c>
      <c r="D108" s="111"/>
      <c r="E108" s="23">
        <v>0</v>
      </c>
      <c r="F108" s="23">
        <v>161627.1</v>
      </c>
      <c r="G108" s="25">
        <f t="shared" ref="G108:G110" si="5">SUM(E108:F108)</f>
        <v>161627.1</v>
      </c>
    </row>
    <row r="109" spans="1:7" x14ac:dyDescent="0.25">
      <c r="A109" s="50" t="s">
        <v>185</v>
      </c>
      <c r="B109" s="109" t="s">
        <v>10</v>
      </c>
      <c r="C109" s="109" t="s">
        <v>11</v>
      </c>
      <c r="D109" s="50"/>
      <c r="E109" s="23">
        <v>0</v>
      </c>
      <c r="F109" s="23">
        <v>47588</v>
      </c>
      <c r="G109" s="25">
        <f t="shared" si="5"/>
        <v>47588</v>
      </c>
    </row>
    <row r="110" spans="1:7" x14ac:dyDescent="0.25">
      <c r="A110" s="111" t="s">
        <v>186</v>
      </c>
      <c r="B110" s="34" t="s">
        <v>163</v>
      </c>
      <c r="C110" s="112" t="s">
        <v>164</v>
      </c>
      <c r="D110" s="111"/>
      <c r="E110" s="23">
        <v>0</v>
      </c>
      <c r="F110" s="23">
        <v>146719.20000000001</v>
      </c>
      <c r="G110" s="25">
        <f t="shared" si="5"/>
        <v>146719.20000000001</v>
      </c>
    </row>
    <row r="111" spans="1:7" x14ac:dyDescent="0.25">
      <c r="A111" s="15" t="s">
        <v>5</v>
      </c>
      <c r="B111" s="254" t="s">
        <v>82</v>
      </c>
      <c r="C111" s="254"/>
      <c r="D111" s="254"/>
      <c r="E111" s="254"/>
      <c r="F111" s="254"/>
      <c r="G111" s="254"/>
    </row>
    <row r="112" spans="1:7" x14ac:dyDescent="0.25">
      <c r="A112" s="115" t="s">
        <v>188</v>
      </c>
      <c r="B112" s="51" t="s">
        <v>13</v>
      </c>
      <c r="C112" s="52" t="s">
        <v>189</v>
      </c>
      <c r="D112" s="111"/>
      <c r="E112" s="23">
        <v>0</v>
      </c>
      <c r="F112" s="23">
        <v>15903.5</v>
      </c>
      <c r="G112" s="25">
        <f>SUM(E112:F112)</f>
        <v>15903.5</v>
      </c>
    </row>
    <row r="113" spans="1:7" s="1" customFormat="1" x14ac:dyDescent="0.25">
      <c r="A113" s="116" t="s">
        <v>199</v>
      </c>
      <c r="B113" s="34" t="s">
        <v>163</v>
      </c>
      <c r="C113" s="117" t="s">
        <v>164</v>
      </c>
      <c r="D113" s="116"/>
      <c r="E113" s="23">
        <v>71412</v>
      </c>
      <c r="F113" s="23">
        <v>0</v>
      </c>
      <c r="G113" s="25">
        <f>SUM(E113:F113)</f>
        <v>71412</v>
      </c>
    </row>
    <row r="114" spans="1:7" x14ac:dyDescent="0.25">
      <c r="A114" s="253" t="s">
        <v>22</v>
      </c>
      <c r="B114" s="253"/>
      <c r="C114" s="253"/>
      <c r="D114" s="16"/>
      <c r="E114" s="106">
        <f>E108+E109+E110+E112+E113</f>
        <v>71412</v>
      </c>
      <c r="F114" s="106">
        <f>F108+F109+F110+F112+F113</f>
        <v>371837.80000000005</v>
      </c>
      <c r="G114" s="18">
        <f>G108+G109+G110+G112+G113</f>
        <v>443249.80000000005</v>
      </c>
    </row>
    <row r="115" spans="1:7" x14ac:dyDescent="0.25">
      <c r="A115" s="15">
        <v>4</v>
      </c>
      <c r="B115" s="254" t="s">
        <v>192</v>
      </c>
      <c r="C115" s="254"/>
      <c r="D115" s="254"/>
      <c r="E115" s="254"/>
      <c r="F115" s="254"/>
      <c r="G115" s="254"/>
    </row>
    <row r="116" spans="1:7" x14ac:dyDescent="0.25">
      <c r="A116" s="253" t="s">
        <v>22</v>
      </c>
      <c r="B116" s="253"/>
      <c r="C116" s="253"/>
      <c r="D116" s="16"/>
      <c r="E116" s="106">
        <v>0</v>
      </c>
      <c r="F116" s="106">
        <v>0</v>
      </c>
      <c r="G116" s="18">
        <v>0</v>
      </c>
    </row>
    <row r="117" spans="1:7" x14ac:dyDescent="0.25">
      <c r="A117" s="15">
        <v>5</v>
      </c>
      <c r="B117" s="267" t="s">
        <v>193</v>
      </c>
      <c r="C117" s="268"/>
      <c r="D117" s="268"/>
      <c r="E117" s="268"/>
      <c r="F117" s="268"/>
      <c r="G117" s="269"/>
    </row>
    <row r="118" spans="1:7" x14ac:dyDescent="0.25">
      <c r="A118" s="111" t="s">
        <v>32</v>
      </c>
      <c r="B118" s="34" t="s">
        <v>3</v>
      </c>
      <c r="C118" s="112" t="s">
        <v>19</v>
      </c>
      <c r="D118" s="111"/>
      <c r="E118" s="23">
        <v>0</v>
      </c>
      <c r="F118" s="23">
        <v>38033.64</v>
      </c>
      <c r="G118" s="23">
        <f>SUM(E118:F118)</f>
        <v>38033.64</v>
      </c>
    </row>
    <row r="119" spans="1:7" s="1" customFormat="1" x14ac:dyDescent="0.25">
      <c r="A119" s="253" t="s">
        <v>22</v>
      </c>
      <c r="B119" s="253"/>
      <c r="C119" s="253"/>
      <c r="D119" s="16"/>
      <c r="E119" s="106">
        <f>E118</f>
        <v>0</v>
      </c>
      <c r="F119" s="106">
        <f>F118</f>
        <v>38033.64</v>
      </c>
      <c r="G119" s="18">
        <f>G118</f>
        <v>38033.64</v>
      </c>
    </row>
    <row r="120" spans="1:7" s="1" customFormat="1" x14ac:dyDescent="0.25">
      <c r="A120" s="255" t="s">
        <v>1</v>
      </c>
      <c r="B120" s="255"/>
      <c r="C120" s="255"/>
      <c r="D120" s="255"/>
      <c r="E120" s="39">
        <f>E104+E106+E114+E119</f>
        <v>71412</v>
      </c>
      <c r="F120" s="39">
        <f>F114+F119+F104</f>
        <v>409871.44000000006</v>
      </c>
      <c r="G120" s="39">
        <f>E120+F120</f>
        <v>481283.44000000006</v>
      </c>
    </row>
    <row r="121" spans="1:7" x14ac:dyDescent="0.25">
      <c r="A121" s="266" t="s">
        <v>33</v>
      </c>
      <c r="B121" s="266"/>
      <c r="C121" s="266"/>
      <c r="D121" s="266"/>
      <c r="E121" s="266"/>
      <c r="F121" s="266"/>
      <c r="G121" s="266"/>
    </row>
    <row r="122" spans="1:7" x14ac:dyDescent="0.25">
      <c r="A122" s="12"/>
      <c r="B122" s="12"/>
      <c r="C122" s="11"/>
      <c r="D122" s="12"/>
      <c r="E122" s="108"/>
      <c r="F122" s="108"/>
      <c r="G122" s="108"/>
    </row>
    <row r="123" spans="1:7" x14ac:dyDescent="0.25">
      <c r="A123" s="258" t="s">
        <v>175</v>
      </c>
      <c r="B123" s="258"/>
      <c r="C123" s="258"/>
      <c r="D123" s="258"/>
      <c r="E123" s="258"/>
      <c r="F123" s="258"/>
      <c r="G123" s="258"/>
    </row>
    <row r="124" spans="1:7" ht="38.25" x14ac:dyDescent="0.25">
      <c r="A124" s="13" t="s">
        <v>27</v>
      </c>
      <c r="B124" s="13" t="s">
        <v>28</v>
      </c>
      <c r="C124" s="13" t="s">
        <v>29</v>
      </c>
      <c r="D124" s="13" t="s">
        <v>2</v>
      </c>
      <c r="E124" s="14" t="s">
        <v>181</v>
      </c>
      <c r="F124" s="14" t="s">
        <v>182</v>
      </c>
      <c r="G124" s="14" t="s">
        <v>183</v>
      </c>
    </row>
    <row r="125" spans="1:7" x14ac:dyDescent="0.25">
      <c r="A125" s="15">
        <v>1</v>
      </c>
      <c r="B125" s="254" t="s">
        <v>190</v>
      </c>
      <c r="C125" s="254"/>
      <c r="D125" s="254"/>
      <c r="E125" s="254"/>
      <c r="F125" s="254"/>
      <c r="G125" s="254"/>
    </row>
    <row r="126" spans="1:7" x14ac:dyDescent="0.25">
      <c r="A126" s="253" t="s">
        <v>22</v>
      </c>
      <c r="B126" s="253"/>
      <c r="C126" s="253"/>
      <c r="D126" s="16"/>
      <c r="E126" s="106">
        <v>0</v>
      </c>
      <c r="F126" s="106">
        <v>0</v>
      </c>
      <c r="G126" s="106">
        <f>E126+F126</f>
        <v>0</v>
      </c>
    </row>
    <row r="127" spans="1:7" x14ac:dyDescent="0.25">
      <c r="A127" s="15">
        <v>2</v>
      </c>
      <c r="B127" s="254" t="s">
        <v>191</v>
      </c>
      <c r="C127" s="254"/>
      <c r="D127" s="254"/>
      <c r="E127" s="254"/>
      <c r="F127" s="254"/>
      <c r="G127" s="254"/>
    </row>
    <row r="128" spans="1:7" x14ac:dyDescent="0.25">
      <c r="A128" s="81" t="s">
        <v>22</v>
      </c>
      <c r="B128" s="82"/>
      <c r="C128" s="83"/>
      <c r="D128" s="16"/>
      <c r="E128" s="107">
        <f>0</f>
        <v>0</v>
      </c>
      <c r="F128" s="107">
        <f>0</f>
        <v>0</v>
      </c>
      <c r="G128" s="20">
        <f>G127</f>
        <v>0</v>
      </c>
    </row>
    <row r="129" spans="1:7" x14ac:dyDescent="0.25">
      <c r="A129" s="15" t="s">
        <v>4</v>
      </c>
      <c r="B129" s="254" t="s">
        <v>187</v>
      </c>
      <c r="C129" s="254"/>
      <c r="D129" s="254"/>
      <c r="E129" s="254"/>
      <c r="F129" s="254"/>
      <c r="G129" s="254"/>
    </row>
    <row r="130" spans="1:7" x14ac:dyDescent="0.25">
      <c r="A130" s="111" t="s">
        <v>184</v>
      </c>
      <c r="B130" s="34" t="s">
        <v>74</v>
      </c>
      <c r="C130" s="112" t="s">
        <v>74</v>
      </c>
      <c r="D130" s="111"/>
      <c r="E130" s="23">
        <v>0</v>
      </c>
      <c r="F130" s="23">
        <v>150701.16</v>
      </c>
      <c r="G130" s="25">
        <f t="shared" ref="G130:G131" si="6">SUM(E130:F130)</f>
        <v>150701.16</v>
      </c>
    </row>
    <row r="131" spans="1:7" x14ac:dyDescent="0.25">
      <c r="A131" s="116" t="s">
        <v>185</v>
      </c>
      <c r="B131" s="34" t="s">
        <v>163</v>
      </c>
      <c r="C131" s="112" t="s">
        <v>164</v>
      </c>
      <c r="D131" s="111"/>
      <c r="E131" s="23">
        <v>0</v>
      </c>
      <c r="F131" s="23">
        <v>47391.6</v>
      </c>
      <c r="G131" s="25">
        <f t="shared" si="6"/>
        <v>47391.6</v>
      </c>
    </row>
    <row r="132" spans="1:7" x14ac:dyDescent="0.25">
      <c r="A132" s="15" t="s">
        <v>5</v>
      </c>
      <c r="B132" s="254" t="s">
        <v>82</v>
      </c>
      <c r="C132" s="254"/>
      <c r="D132" s="254"/>
      <c r="E132" s="254"/>
      <c r="F132" s="254"/>
      <c r="G132" s="254"/>
    </row>
    <row r="133" spans="1:7" x14ac:dyDescent="0.25">
      <c r="A133" s="115" t="s">
        <v>188</v>
      </c>
      <c r="B133" s="51" t="s">
        <v>13</v>
      </c>
      <c r="C133" s="52" t="s">
        <v>189</v>
      </c>
      <c r="D133" s="111"/>
      <c r="E133" s="23">
        <v>0</v>
      </c>
      <c r="F133" s="23">
        <v>13464</v>
      </c>
      <c r="G133" s="25">
        <f>SUM(E133:F133)</f>
        <v>13464</v>
      </c>
    </row>
    <row r="134" spans="1:7" x14ac:dyDescent="0.25">
      <c r="A134" s="253" t="s">
        <v>22</v>
      </c>
      <c r="B134" s="253"/>
      <c r="C134" s="253"/>
      <c r="D134" s="16"/>
      <c r="E134" s="106">
        <f>SUM(E130:E131)</f>
        <v>0</v>
      </c>
      <c r="F134" s="106">
        <f>F130+F131+F133</f>
        <v>211556.76</v>
      </c>
      <c r="G134" s="18">
        <f>G130+G131+G133</f>
        <v>211556.76</v>
      </c>
    </row>
    <row r="135" spans="1:7" x14ac:dyDescent="0.25">
      <c r="A135" s="15">
        <v>4</v>
      </c>
      <c r="B135" s="254" t="s">
        <v>192</v>
      </c>
      <c r="C135" s="254"/>
      <c r="D135" s="254"/>
      <c r="E135" s="254"/>
      <c r="F135" s="254"/>
      <c r="G135" s="254"/>
    </row>
    <row r="136" spans="1:7" x14ac:dyDescent="0.25">
      <c r="A136" s="253" t="s">
        <v>22</v>
      </c>
      <c r="B136" s="253"/>
      <c r="C136" s="253"/>
      <c r="D136" s="16"/>
      <c r="E136" s="106">
        <v>0</v>
      </c>
      <c r="F136" s="106">
        <v>0</v>
      </c>
      <c r="G136" s="18">
        <v>0</v>
      </c>
    </row>
    <row r="137" spans="1:7" x14ac:dyDescent="0.25">
      <c r="A137" s="15">
        <v>5</v>
      </c>
      <c r="B137" s="267" t="s">
        <v>193</v>
      </c>
      <c r="C137" s="268"/>
      <c r="D137" s="268"/>
      <c r="E137" s="268"/>
      <c r="F137" s="268"/>
      <c r="G137" s="269"/>
    </row>
    <row r="138" spans="1:7" x14ac:dyDescent="0.25">
      <c r="A138" s="111" t="s">
        <v>32</v>
      </c>
      <c r="B138" s="34" t="s">
        <v>3</v>
      </c>
      <c r="C138" s="112" t="s">
        <v>19</v>
      </c>
      <c r="D138" s="111"/>
      <c r="E138" s="23">
        <v>0</v>
      </c>
      <c r="F138" s="23">
        <v>35384.9</v>
      </c>
      <c r="G138" s="23">
        <f>SUM(E138:F138)</f>
        <v>35384.9</v>
      </c>
    </row>
    <row r="139" spans="1:7" x14ac:dyDescent="0.25">
      <c r="A139" s="253" t="s">
        <v>22</v>
      </c>
      <c r="B139" s="253"/>
      <c r="C139" s="253"/>
      <c r="D139" s="16"/>
      <c r="E139" s="106">
        <f>E138</f>
        <v>0</v>
      </c>
      <c r="F139" s="106">
        <f>F138</f>
        <v>35384.9</v>
      </c>
      <c r="G139" s="18">
        <f>G138</f>
        <v>35384.9</v>
      </c>
    </row>
    <row r="140" spans="1:7" x14ac:dyDescent="0.25">
      <c r="A140" s="255" t="s">
        <v>1</v>
      </c>
      <c r="B140" s="255"/>
      <c r="C140" s="255"/>
      <c r="D140" s="255"/>
      <c r="E140" s="39">
        <f>E126+E128+E134+E139</f>
        <v>0</v>
      </c>
      <c r="F140" s="39">
        <f>F134+F139+F126</f>
        <v>246941.66</v>
      </c>
      <c r="G140" s="39">
        <f>E140+F140</f>
        <v>246941.66</v>
      </c>
    </row>
    <row r="141" spans="1:7" x14ac:dyDescent="0.25">
      <c r="A141" s="266" t="s">
        <v>33</v>
      </c>
      <c r="B141" s="266"/>
      <c r="C141" s="266"/>
      <c r="D141" s="266"/>
      <c r="E141" s="266"/>
      <c r="F141" s="266"/>
      <c r="G141" s="266"/>
    </row>
    <row r="142" spans="1:7" x14ac:dyDescent="0.25">
      <c r="A142" s="12"/>
      <c r="B142" s="12"/>
      <c r="C142" s="11"/>
      <c r="D142" s="12"/>
      <c r="E142" s="108"/>
      <c r="F142" s="108"/>
      <c r="G142" s="108"/>
    </row>
    <row r="143" spans="1:7" x14ac:dyDescent="0.25">
      <c r="A143" s="258" t="s">
        <v>176</v>
      </c>
      <c r="B143" s="258"/>
      <c r="C143" s="258"/>
      <c r="D143" s="258"/>
      <c r="E143" s="258"/>
      <c r="F143" s="258"/>
      <c r="G143" s="258"/>
    </row>
    <row r="144" spans="1:7" ht="38.25" x14ac:dyDescent="0.25">
      <c r="A144" s="13" t="s">
        <v>27</v>
      </c>
      <c r="B144" s="13" t="s">
        <v>28</v>
      </c>
      <c r="C144" s="13" t="s">
        <v>29</v>
      </c>
      <c r="D144" s="13" t="s">
        <v>2</v>
      </c>
      <c r="E144" s="14" t="s">
        <v>181</v>
      </c>
      <c r="F144" s="14" t="s">
        <v>182</v>
      </c>
      <c r="G144" s="14" t="s">
        <v>183</v>
      </c>
    </row>
    <row r="145" spans="1:7" x14ac:dyDescent="0.25">
      <c r="A145" s="15">
        <v>1</v>
      </c>
      <c r="B145" s="254" t="s">
        <v>190</v>
      </c>
      <c r="C145" s="254"/>
      <c r="D145" s="254"/>
      <c r="E145" s="254"/>
      <c r="F145" s="254"/>
      <c r="G145" s="254"/>
    </row>
    <row r="146" spans="1:7" x14ac:dyDescent="0.25">
      <c r="A146" s="253" t="s">
        <v>22</v>
      </c>
      <c r="B146" s="253"/>
      <c r="C146" s="253"/>
      <c r="D146" s="16"/>
      <c r="E146" s="106">
        <v>0</v>
      </c>
      <c r="F146" s="106">
        <v>0</v>
      </c>
      <c r="G146" s="106">
        <f>E146+F146</f>
        <v>0</v>
      </c>
    </row>
    <row r="147" spans="1:7" x14ac:dyDescent="0.25">
      <c r="A147" s="15">
        <v>2</v>
      </c>
      <c r="B147" s="254" t="s">
        <v>191</v>
      </c>
      <c r="C147" s="254"/>
      <c r="D147" s="254"/>
      <c r="E147" s="254"/>
      <c r="F147" s="254"/>
      <c r="G147" s="254"/>
    </row>
    <row r="148" spans="1:7" x14ac:dyDescent="0.25">
      <c r="A148" s="81" t="s">
        <v>22</v>
      </c>
      <c r="B148" s="82"/>
      <c r="C148" s="83"/>
      <c r="D148" s="16"/>
      <c r="E148" s="107">
        <f>0</f>
        <v>0</v>
      </c>
      <c r="F148" s="107">
        <f>0</f>
        <v>0</v>
      </c>
      <c r="G148" s="20">
        <f>G147</f>
        <v>0</v>
      </c>
    </row>
    <row r="149" spans="1:7" x14ac:dyDescent="0.25">
      <c r="A149" s="15" t="s">
        <v>4</v>
      </c>
      <c r="B149" s="254" t="s">
        <v>187</v>
      </c>
      <c r="C149" s="254"/>
      <c r="D149" s="254"/>
      <c r="E149" s="254"/>
      <c r="F149" s="254"/>
      <c r="G149" s="254"/>
    </row>
    <row r="150" spans="1:7" x14ac:dyDescent="0.25">
      <c r="A150" s="111" t="s">
        <v>184</v>
      </c>
      <c r="B150" s="34" t="s">
        <v>74</v>
      </c>
      <c r="C150" s="112" t="s">
        <v>74</v>
      </c>
      <c r="D150" s="111"/>
      <c r="E150" s="23">
        <v>0</v>
      </c>
      <c r="F150" s="23">
        <v>150393.4</v>
      </c>
      <c r="G150" s="25">
        <f t="shared" ref="G150:G152" si="7">SUM(E150:F150)</f>
        <v>150393.4</v>
      </c>
    </row>
    <row r="151" spans="1:7" x14ac:dyDescent="0.25">
      <c r="A151" s="50" t="s">
        <v>185</v>
      </c>
      <c r="B151" s="109" t="s">
        <v>10</v>
      </c>
      <c r="C151" s="109" t="s">
        <v>11</v>
      </c>
      <c r="D151" s="50"/>
      <c r="E151" s="23">
        <v>0</v>
      </c>
      <c r="F151" s="23">
        <v>82505.990000000005</v>
      </c>
      <c r="G151" s="25">
        <f t="shared" si="7"/>
        <v>82505.990000000005</v>
      </c>
    </row>
    <row r="152" spans="1:7" x14ac:dyDescent="0.25">
      <c r="A152" s="111" t="s">
        <v>186</v>
      </c>
      <c r="B152" s="34" t="s">
        <v>163</v>
      </c>
      <c r="C152" s="112" t="s">
        <v>164</v>
      </c>
      <c r="D152" s="111"/>
      <c r="E152" s="23">
        <v>0</v>
      </c>
      <c r="F152" s="23">
        <v>66867.600000000006</v>
      </c>
      <c r="G152" s="25">
        <f t="shared" si="7"/>
        <v>66867.600000000006</v>
      </c>
    </row>
    <row r="153" spans="1:7" x14ac:dyDescent="0.25">
      <c r="A153" s="15" t="s">
        <v>5</v>
      </c>
      <c r="B153" s="254" t="s">
        <v>82</v>
      </c>
      <c r="C153" s="254"/>
      <c r="D153" s="254"/>
      <c r="E153" s="254"/>
      <c r="F153" s="254"/>
      <c r="G153" s="254"/>
    </row>
    <row r="154" spans="1:7" x14ac:dyDescent="0.25">
      <c r="A154" s="111" t="s">
        <v>188</v>
      </c>
      <c r="B154" s="51" t="s">
        <v>13</v>
      </c>
      <c r="C154" s="52" t="s">
        <v>189</v>
      </c>
      <c r="D154" s="111"/>
      <c r="E154" s="23">
        <v>0</v>
      </c>
      <c r="F154" s="23">
        <v>10200.5</v>
      </c>
      <c r="G154" s="25">
        <f>SUM(E154:F154)</f>
        <v>10200.5</v>
      </c>
    </row>
    <row r="155" spans="1:7" x14ac:dyDescent="0.25">
      <c r="A155" s="253" t="s">
        <v>22</v>
      </c>
      <c r="B155" s="253"/>
      <c r="C155" s="253"/>
      <c r="D155" s="16"/>
      <c r="E155" s="106">
        <f>SUM(E150:E152)</f>
        <v>0</v>
      </c>
      <c r="F155" s="106">
        <f>F150+F151+F152+F154</f>
        <v>309967.49</v>
      </c>
      <c r="G155" s="18">
        <f>G150+G151+G152+G154</f>
        <v>309967.49</v>
      </c>
    </row>
    <row r="156" spans="1:7" x14ac:dyDescent="0.25">
      <c r="A156" s="15">
        <v>4</v>
      </c>
      <c r="B156" s="254" t="s">
        <v>192</v>
      </c>
      <c r="C156" s="254"/>
      <c r="D156" s="254"/>
      <c r="E156" s="254"/>
      <c r="F156" s="254"/>
      <c r="G156" s="254"/>
    </row>
    <row r="157" spans="1:7" x14ac:dyDescent="0.25">
      <c r="A157" s="253" t="s">
        <v>22</v>
      </c>
      <c r="B157" s="253"/>
      <c r="C157" s="253"/>
      <c r="D157" s="16"/>
      <c r="E157" s="106">
        <v>0</v>
      </c>
      <c r="F157" s="106">
        <v>0</v>
      </c>
      <c r="G157" s="18">
        <v>0</v>
      </c>
    </row>
    <row r="158" spans="1:7" x14ac:dyDescent="0.25">
      <c r="A158" s="15">
        <v>5</v>
      </c>
      <c r="B158" s="267" t="s">
        <v>193</v>
      </c>
      <c r="C158" s="268"/>
      <c r="D158" s="268"/>
      <c r="E158" s="268"/>
      <c r="F158" s="268"/>
      <c r="G158" s="269"/>
    </row>
    <row r="159" spans="1:7" x14ac:dyDescent="0.25">
      <c r="A159" s="111" t="s">
        <v>32</v>
      </c>
      <c r="B159" s="34" t="s">
        <v>3</v>
      </c>
      <c r="C159" s="112" t="s">
        <v>19</v>
      </c>
      <c r="D159" s="111"/>
      <c r="E159" s="23">
        <v>0</v>
      </c>
      <c r="F159" s="23">
        <v>36216.42</v>
      </c>
      <c r="G159" s="23">
        <f>SUM(E159:F159)</f>
        <v>36216.42</v>
      </c>
    </row>
    <row r="160" spans="1:7" x14ac:dyDescent="0.25">
      <c r="A160" s="253" t="s">
        <v>22</v>
      </c>
      <c r="B160" s="253"/>
      <c r="C160" s="253"/>
      <c r="D160" s="16"/>
      <c r="E160" s="106">
        <f>E159</f>
        <v>0</v>
      </c>
      <c r="F160" s="106">
        <f>F159</f>
        <v>36216.42</v>
      </c>
      <c r="G160" s="18">
        <f>G159</f>
        <v>36216.42</v>
      </c>
    </row>
    <row r="161" spans="1:7" x14ac:dyDescent="0.25">
      <c r="A161" s="255" t="s">
        <v>1</v>
      </c>
      <c r="B161" s="255"/>
      <c r="C161" s="255"/>
      <c r="D161" s="255"/>
      <c r="E161" s="39">
        <f>E146+E148+E155+E160</f>
        <v>0</v>
      </c>
      <c r="F161" s="39">
        <f>F155+F160+F146</f>
        <v>346183.91</v>
      </c>
      <c r="G161" s="39">
        <f>E161+F161</f>
        <v>346183.91</v>
      </c>
    </row>
    <row r="162" spans="1:7" x14ac:dyDescent="0.25">
      <c r="A162" s="266" t="s">
        <v>33</v>
      </c>
      <c r="B162" s="266"/>
      <c r="C162" s="266"/>
      <c r="D162" s="266"/>
      <c r="E162" s="266"/>
      <c r="F162" s="266"/>
      <c r="G162" s="266"/>
    </row>
    <row r="163" spans="1:7" x14ac:dyDescent="0.25">
      <c r="A163" s="12"/>
      <c r="B163" s="12"/>
      <c r="C163" s="11"/>
      <c r="D163" s="12"/>
      <c r="E163" s="108"/>
      <c r="F163" s="108"/>
      <c r="G163" s="108"/>
    </row>
    <row r="164" spans="1:7" x14ac:dyDescent="0.25">
      <c r="A164" s="258" t="s">
        <v>177</v>
      </c>
      <c r="B164" s="258"/>
      <c r="C164" s="258"/>
      <c r="D164" s="258"/>
      <c r="E164" s="258"/>
      <c r="F164" s="258"/>
      <c r="G164" s="258"/>
    </row>
    <row r="165" spans="1:7" ht="38.25" x14ac:dyDescent="0.25">
      <c r="A165" s="13" t="s">
        <v>27</v>
      </c>
      <c r="B165" s="13" t="s">
        <v>28</v>
      </c>
      <c r="C165" s="13" t="s">
        <v>29</v>
      </c>
      <c r="D165" s="13" t="s">
        <v>2</v>
      </c>
      <c r="E165" s="14" t="s">
        <v>181</v>
      </c>
      <c r="F165" s="14" t="s">
        <v>182</v>
      </c>
      <c r="G165" s="14" t="s">
        <v>183</v>
      </c>
    </row>
    <row r="166" spans="1:7" x14ac:dyDescent="0.25">
      <c r="A166" s="15">
        <v>1</v>
      </c>
      <c r="B166" s="254" t="s">
        <v>190</v>
      </c>
      <c r="C166" s="254"/>
      <c r="D166" s="254"/>
      <c r="E166" s="254"/>
      <c r="F166" s="254"/>
      <c r="G166" s="254"/>
    </row>
    <row r="167" spans="1:7" x14ac:dyDescent="0.25">
      <c r="A167" s="253" t="s">
        <v>22</v>
      </c>
      <c r="B167" s="253"/>
      <c r="C167" s="253"/>
      <c r="D167" s="16"/>
      <c r="E167" s="106">
        <v>0</v>
      </c>
      <c r="F167" s="106">
        <v>0</v>
      </c>
      <c r="G167" s="106">
        <f>E167+F167</f>
        <v>0</v>
      </c>
    </row>
    <row r="168" spans="1:7" x14ac:dyDescent="0.25">
      <c r="A168" s="15">
        <v>2</v>
      </c>
      <c r="B168" s="254" t="s">
        <v>191</v>
      </c>
      <c r="C168" s="254"/>
      <c r="D168" s="254"/>
      <c r="E168" s="254"/>
      <c r="F168" s="254"/>
      <c r="G168" s="254"/>
    </row>
    <row r="169" spans="1:7" x14ac:dyDescent="0.25">
      <c r="A169" s="81" t="s">
        <v>22</v>
      </c>
      <c r="B169" s="82"/>
      <c r="C169" s="83"/>
      <c r="D169" s="16"/>
      <c r="E169" s="107">
        <f>0</f>
        <v>0</v>
      </c>
      <c r="F169" s="107">
        <f>0</f>
        <v>0</v>
      </c>
      <c r="G169" s="20">
        <f>G168</f>
        <v>0</v>
      </c>
    </row>
    <row r="170" spans="1:7" x14ac:dyDescent="0.25">
      <c r="A170" s="15">
        <v>3</v>
      </c>
      <c r="B170" s="254" t="s">
        <v>187</v>
      </c>
      <c r="C170" s="254"/>
      <c r="D170" s="254"/>
      <c r="E170" s="254"/>
      <c r="F170" s="254"/>
      <c r="G170" s="254"/>
    </row>
    <row r="171" spans="1:7" x14ac:dyDescent="0.25">
      <c r="A171" s="116" t="s">
        <v>4</v>
      </c>
      <c r="B171" s="34" t="s">
        <v>74</v>
      </c>
      <c r="C171" s="112" t="s">
        <v>74</v>
      </c>
      <c r="D171" s="111"/>
      <c r="E171" s="23">
        <v>0</v>
      </c>
      <c r="F171" s="23">
        <v>157666.17000000001</v>
      </c>
      <c r="G171" s="25">
        <f t="shared" ref="G171" si="8">SUM(E171:F171)</f>
        <v>157666.17000000001</v>
      </c>
    </row>
    <row r="172" spans="1:7" x14ac:dyDescent="0.25">
      <c r="A172" s="253" t="s">
        <v>22</v>
      </c>
      <c r="B172" s="253"/>
      <c r="C172" s="253"/>
      <c r="D172" s="16"/>
      <c r="E172" s="106">
        <f>SUM(E171:E171)</f>
        <v>0</v>
      </c>
      <c r="F172" s="106">
        <f>SUM(F171:F171)</f>
        <v>157666.17000000001</v>
      </c>
      <c r="G172" s="18">
        <f>SUM(G170:G171)</f>
        <v>157666.17000000001</v>
      </c>
    </row>
    <row r="173" spans="1:7" x14ac:dyDescent="0.25">
      <c r="A173" s="15">
        <v>4</v>
      </c>
      <c r="B173" s="254" t="s">
        <v>192</v>
      </c>
      <c r="C173" s="254"/>
      <c r="D173" s="254"/>
      <c r="E173" s="254"/>
      <c r="F173" s="254"/>
      <c r="G173" s="254"/>
    </row>
    <row r="174" spans="1:7" x14ac:dyDescent="0.25">
      <c r="A174" s="253" t="s">
        <v>22</v>
      </c>
      <c r="B174" s="253"/>
      <c r="C174" s="253"/>
      <c r="D174" s="16"/>
      <c r="E174" s="106">
        <v>0</v>
      </c>
      <c r="F174" s="106">
        <v>0</v>
      </c>
      <c r="G174" s="18">
        <v>0</v>
      </c>
    </row>
    <row r="175" spans="1:7" x14ac:dyDescent="0.25">
      <c r="A175" s="15">
        <v>5</v>
      </c>
      <c r="B175" s="267" t="s">
        <v>193</v>
      </c>
      <c r="C175" s="268"/>
      <c r="D175" s="268"/>
      <c r="E175" s="268"/>
      <c r="F175" s="268"/>
      <c r="G175" s="269"/>
    </row>
    <row r="176" spans="1:7" x14ac:dyDescent="0.25">
      <c r="A176" s="111" t="s">
        <v>32</v>
      </c>
      <c r="B176" s="34" t="s">
        <v>3</v>
      </c>
      <c r="C176" s="112" t="s">
        <v>19</v>
      </c>
      <c r="D176" s="111"/>
      <c r="E176" s="23">
        <v>0</v>
      </c>
      <c r="F176" s="23">
        <v>45593.95</v>
      </c>
      <c r="G176" s="23">
        <f>SUM(E176:F176)</f>
        <v>45593.95</v>
      </c>
    </row>
    <row r="177" spans="1:7" x14ac:dyDescent="0.25">
      <c r="A177" s="253" t="s">
        <v>22</v>
      </c>
      <c r="B177" s="253"/>
      <c r="C177" s="253"/>
      <c r="D177" s="16"/>
      <c r="E177" s="106">
        <f>E176</f>
        <v>0</v>
      </c>
      <c r="F177" s="106">
        <f>F176</f>
        <v>45593.95</v>
      </c>
      <c r="G177" s="18">
        <f>G176</f>
        <v>45593.95</v>
      </c>
    </row>
    <row r="178" spans="1:7" x14ac:dyDescent="0.25">
      <c r="A178" s="255" t="s">
        <v>1</v>
      </c>
      <c r="B178" s="255"/>
      <c r="C178" s="255"/>
      <c r="D178" s="255"/>
      <c r="E178" s="39">
        <f>E167+E169+E172+E177</f>
        <v>0</v>
      </c>
      <c r="F178" s="39">
        <f>F172+F177+F167</f>
        <v>203260.12</v>
      </c>
      <c r="G178" s="39">
        <f>E178+F178</f>
        <v>203260.12</v>
      </c>
    </row>
    <row r="179" spans="1:7" x14ac:dyDescent="0.25">
      <c r="A179" s="266" t="s">
        <v>33</v>
      </c>
      <c r="B179" s="266"/>
      <c r="C179" s="266"/>
      <c r="D179" s="266"/>
      <c r="E179" s="266"/>
      <c r="F179" s="266"/>
      <c r="G179" s="266"/>
    </row>
    <row r="180" spans="1:7" x14ac:dyDescent="0.25">
      <c r="A180" s="12"/>
      <c r="B180" s="12"/>
      <c r="C180" s="11"/>
      <c r="D180" s="12"/>
      <c r="E180" s="108"/>
      <c r="F180" s="108"/>
      <c r="G180" s="108"/>
    </row>
    <row r="181" spans="1:7" x14ac:dyDescent="0.25">
      <c r="A181" s="258" t="s">
        <v>178</v>
      </c>
      <c r="B181" s="258"/>
      <c r="C181" s="258"/>
      <c r="D181" s="258"/>
      <c r="E181" s="258"/>
      <c r="F181" s="258"/>
      <c r="G181" s="258"/>
    </row>
    <row r="182" spans="1:7" ht="38.25" x14ac:dyDescent="0.25">
      <c r="A182" s="13" t="s">
        <v>27</v>
      </c>
      <c r="B182" s="13" t="s">
        <v>28</v>
      </c>
      <c r="C182" s="13" t="s">
        <v>29</v>
      </c>
      <c r="D182" s="13" t="s">
        <v>2</v>
      </c>
      <c r="E182" s="14" t="s">
        <v>181</v>
      </c>
      <c r="F182" s="14" t="s">
        <v>182</v>
      </c>
      <c r="G182" s="14" t="s">
        <v>183</v>
      </c>
    </row>
    <row r="183" spans="1:7" x14ac:dyDescent="0.25">
      <c r="A183" s="15">
        <v>1</v>
      </c>
      <c r="B183" s="254" t="s">
        <v>190</v>
      </c>
      <c r="C183" s="254"/>
      <c r="D183" s="254"/>
      <c r="E183" s="254"/>
      <c r="F183" s="254"/>
      <c r="G183" s="254"/>
    </row>
    <row r="184" spans="1:7" x14ac:dyDescent="0.25">
      <c r="A184" s="253" t="s">
        <v>22</v>
      </c>
      <c r="B184" s="253"/>
      <c r="C184" s="253"/>
      <c r="D184" s="16"/>
      <c r="E184" s="106">
        <v>0</v>
      </c>
      <c r="F184" s="106">
        <v>0</v>
      </c>
      <c r="G184" s="106">
        <f>E184+F184</f>
        <v>0</v>
      </c>
    </row>
    <row r="185" spans="1:7" x14ac:dyDescent="0.25">
      <c r="A185" s="15">
        <v>2</v>
      </c>
      <c r="B185" s="254" t="s">
        <v>191</v>
      </c>
      <c r="C185" s="254"/>
      <c r="D185" s="254"/>
      <c r="E185" s="254"/>
      <c r="F185" s="254"/>
      <c r="G185" s="254"/>
    </row>
    <row r="186" spans="1:7" x14ac:dyDescent="0.25">
      <c r="A186" s="81" t="s">
        <v>22</v>
      </c>
      <c r="B186" s="82"/>
      <c r="C186" s="83"/>
      <c r="D186" s="16"/>
      <c r="E186" s="107">
        <f>0</f>
        <v>0</v>
      </c>
      <c r="F186" s="107">
        <f>0</f>
        <v>0</v>
      </c>
      <c r="G186" s="20">
        <f>G185</f>
        <v>0</v>
      </c>
    </row>
    <row r="187" spans="1:7" x14ac:dyDescent="0.25">
      <c r="A187" s="15" t="s">
        <v>4</v>
      </c>
      <c r="B187" s="254" t="s">
        <v>187</v>
      </c>
      <c r="C187" s="254"/>
      <c r="D187" s="254"/>
      <c r="E187" s="254"/>
      <c r="F187" s="254"/>
      <c r="G187" s="254"/>
    </row>
    <row r="188" spans="1:7" x14ac:dyDescent="0.25">
      <c r="A188" s="111" t="s">
        <v>184</v>
      </c>
      <c r="B188" s="34" t="s">
        <v>74</v>
      </c>
      <c r="C188" s="112" t="s">
        <v>74</v>
      </c>
      <c r="D188" s="111"/>
      <c r="E188" s="23">
        <v>0</v>
      </c>
      <c r="F188" s="23">
        <v>171030.52</v>
      </c>
      <c r="G188" s="25">
        <f t="shared" ref="G188:G190" si="9">SUM(E188:F188)</f>
        <v>171030.52</v>
      </c>
    </row>
    <row r="189" spans="1:7" x14ac:dyDescent="0.25">
      <c r="A189" s="50" t="s">
        <v>185</v>
      </c>
      <c r="B189" s="109" t="s">
        <v>10</v>
      </c>
      <c r="C189" s="109" t="s">
        <v>11</v>
      </c>
      <c r="D189" s="50"/>
      <c r="E189" s="23">
        <v>0</v>
      </c>
      <c r="F189" s="23">
        <v>100743.53</v>
      </c>
      <c r="G189" s="25">
        <f t="shared" si="9"/>
        <v>100743.53</v>
      </c>
    </row>
    <row r="190" spans="1:7" x14ac:dyDescent="0.25">
      <c r="A190" s="111" t="s">
        <v>186</v>
      </c>
      <c r="B190" s="34" t="s">
        <v>163</v>
      </c>
      <c r="C190" s="112" t="s">
        <v>164</v>
      </c>
      <c r="D190" s="111"/>
      <c r="E190" s="23">
        <v>0</v>
      </c>
      <c r="F190" s="23">
        <v>74760</v>
      </c>
      <c r="G190" s="25">
        <f t="shared" si="9"/>
        <v>74760</v>
      </c>
    </row>
    <row r="191" spans="1:7" x14ac:dyDescent="0.25">
      <c r="A191" s="15" t="s">
        <v>5</v>
      </c>
      <c r="B191" s="254" t="s">
        <v>82</v>
      </c>
      <c r="C191" s="254"/>
      <c r="D191" s="254"/>
      <c r="E191" s="254"/>
      <c r="F191" s="254"/>
      <c r="G191" s="254"/>
    </row>
    <row r="192" spans="1:7" x14ac:dyDescent="0.25">
      <c r="A192" s="111" t="s">
        <v>188</v>
      </c>
      <c r="B192" s="51" t="s">
        <v>13</v>
      </c>
      <c r="C192" s="52" t="s">
        <v>189</v>
      </c>
      <c r="D192" s="111"/>
      <c r="E192" s="23">
        <v>0</v>
      </c>
      <c r="F192" s="23">
        <v>24688</v>
      </c>
      <c r="G192" s="25">
        <f>E192+F192</f>
        <v>24688</v>
      </c>
    </row>
    <row r="193" spans="1:7" x14ac:dyDescent="0.25">
      <c r="A193" s="253" t="s">
        <v>22</v>
      </c>
      <c r="B193" s="253"/>
      <c r="C193" s="253"/>
      <c r="D193" s="16"/>
      <c r="E193" s="106">
        <f>SUM(E188:E190)</f>
        <v>0</v>
      </c>
      <c r="F193" s="106">
        <f>F188+F189+F190+F192</f>
        <v>371222.05</v>
      </c>
      <c r="G193" s="18">
        <f>G188+G189+G190+G192</f>
        <v>371222.05</v>
      </c>
    </row>
    <row r="194" spans="1:7" x14ac:dyDescent="0.25">
      <c r="A194" s="15">
        <v>4</v>
      </c>
      <c r="B194" s="254" t="s">
        <v>192</v>
      </c>
      <c r="C194" s="254"/>
      <c r="D194" s="254"/>
      <c r="E194" s="254"/>
      <c r="F194" s="254"/>
      <c r="G194" s="254"/>
    </row>
    <row r="195" spans="1:7" x14ac:dyDescent="0.25">
      <c r="A195" s="253" t="s">
        <v>22</v>
      </c>
      <c r="B195" s="253"/>
      <c r="C195" s="253"/>
      <c r="D195" s="16"/>
      <c r="E195" s="106">
        <v>0</v>
      </c>
      <c r="F195" s="106">
        <v>0</v>
      </c>
      <c r="G195" s="18">
        <v>0</v>
      </c>
    </row>
    <row r="196" spans="1:7" x14ac:dyDescent="0.25">
      <c r="A196" s="15">
        <v>5</v>
      </c>
      <c r="B196" s="267" t="s">
        <v>193</v>
      </c>
      <c r="C196" s="268"/>
      <c r="D196" s="268"/>
      <c r="E196" s="268"/>
      <c r="F196" s="268"/>
      <c r="G196" s="269"/>
    </row>
    <row r="197" spans="1:7" x14ac:dyDescent="0.25">
      <c r="A197" s="111" t="s">
        <v>32</v>
      </c>
      <c r="B197" s="34" t="s">
        <v>3</v>
      </c>
      <c r="C197" s="112" t="s">
        <v>19</v>
      </c>
      <c r="D197" s="111"/>
      <c r="E197" s="23">
        <v>0</v>
      </c>
      <c r="F197" s="23">
        <v>42808.01</v>
      </c>
      <c r="G197" s="23">
        <f>SUM(E197:F197)</f>
        <v>42808.01</v>
      </c>
    </row>
    <row r="198" spans="1:7" x14ac:dyDescent="0.25">
      <c r="A198" s="253" t="s">
        <v>22</v>
      </c>
      <c r="B198" s="253"/>
      <c r="C198" s="253"/>
      <c r="D198" s="16"/>
      <c r="E198" s="106">
        <f>E197</f>
        <v>0</v>
      </c>
      <c r="F198" s="106">
        <f>F197</f>
        <v>42808.01</v>
      </c>
      <c r="G198" s="18">
        <f>G197</f>
        <v>42808.01</v>
      </c>
    </row>
    <row r="199" spans="1:7" x14ac:dyDescent="0.25">
      <c r="A199" s="255" t="s">
        <v>1</v>
      </c>
      <c r="B199" s="255"/>
      <c r="C199" s="255"/>
      <c r="D199" s="255"/>
      <c r="E199" s="39">
        <f>E184+E186+E193+E198</f>
        <v>0</v>
      </c>
      <c r="F199" s="39">
        <f>F193+F198+F184</f>
        <v>414030.06</v>
      </c>
      <c r="G199" s="39">
        <f>E199+F199</f>
        <v>414030.06</v>
      </c>
    </row>
    <row r="200" spans="1:7" s="1" customFormat="1" x14ac:dyDescent="0.25">
      <c r="A200" s="266" t="s">
        <v>33</v>
      </c>
      <c r="B200" s="266"/>
      <c r="C200" s="266"/>
      <c r="D200" s="266"/>
      <c r="E200" s="266"/>
      <c r="F200" s="266"/>
      <c r="G200" s="266"/>
    </row>
    <row r="201" spans="1:7" x14ac:dyDescent="0.25">
      <c r="A201" s="12"/>
      <c r="B201" s="12"/>
      <c r="C201" s="11"/>
      <c r="D201" s="12"/>
      <c r="E201" s="108"/>
      <c r="F201" s="108"/>
      <c r="G201" s="108"/>
    </row>
    <row r="202" spans="1:7" x14ac:dyDescent="0.25">
      <c r="A202" s="258" t="s">
        <v>179</v>
      </c>
      <c r="B202" s="258"/>
      <c r="C202" s="258"/>
      <c r="D202" s="258"/>
      <c r="E202" s="258"/>
      <c r="F202" s="258"/>
      <c r="G202" s="258"/>
    </row>
    <row r="203" spans="1:7" ht="38.25" x14ac:dyDescent="0.25">
      <c r="A203" s="13" t="s">
        <v>27</v>
      </c>
      <c r="B203" s="13" t="s">
        <v>28</v>
      </c>
      <c r="C203" s="13" t="s">
        <v>29</v>
      </c>
      <c r="D203" s="13" t="s">
        <v>2</v>
      </c>
      <c r="E203" s="14" t="s">
        <v>181</v>
      </c>
      <c r="F203" s="14" t="s">
        <v>182</v>
      </c>
      <c r="G203" s="14" t="s">
        <v>183</v>
      </c>
    </row>
    <row r="204" spans="1:7" x14ac:dyDescent="0.25">
      <c r="A204" s="15">
        <v>1</v>
      </c>
      <c r="B204" s="254" t="s">
        <v>190</v>
      </c>
      <c r="C204" s="254"/>
      <c r="D204" s="254"/>
      <c r="E204" s="254"/>
      <c r="F204" s="254"/>
      <c r="G204" s="254"/>
    </row>
    <row r="205" spans="1:7" x14ac:dyDescent="0.25">
      <c r="A205" s="253" t="s">
        <v>22</v>
      </c>
      <c r="B205" s="253"/>
      <c r="C205" s="253"/>
      <c r="D205" s="16"/>
      <c r="E205" s="106">
        <v>0</v>
      </c>
      <c r="F205" s="106">
        <v>0</v>
      </c>
      <c r="G205" s="106">
        <f>E205+F205</f>
        <v>0</v>
      </c>
    </row>
    <row r="206" spans="1:7" x14ac:dyDescent="0.25">
      <c r="A206" s="15">
        <v>2</v>
      </c>
      <c r="B206" s="254" t="s">
        <v>191</v>
      </c>
      <c r="C206" s="254"/>
      <c r="D206" s="254"/>
      <c r="E206" s="254"/>
      <c r="F206" s="254"/>
      <c r="G206" s="254"/>
    </row>
    <row r="207" spans="1:7" x14ac:dyDescent="0.25">
      <c r="A207" s="81" t="s">
        <v>22</v>
      </c>
      <c r="B207" s="82"/>
      <c r="C207" s="83"/>
      <c r="D207" s="16"/>
      <c r="E207" s="107">
        <f>0</f>
        <v>0</v>
      </c>
      <c r="F207" s="107">
        <f>0</f>
        <v>0</v>
      </c>
      <c r="G207" s="20">
        <f>G206</f>
        <v>0</v>
      </c>
    </row>
    <row r="208" spans="1:7" x14ac:dyDescent="0.25">
      <c r="A208" s="15" t="s">
        <v>4</v>
      </c>
      <c r="B208" s="254" t="s">
        <v>187</v>
      </c>
      <c r="C208" s="254"/>
      <c r="D208" s="254"/>
      <c r="E208" s="254"/>
      <c r="F208" s="254"/>
      <c r="G208" s="254"/>
    </row>
    <row r="209" spans="1:7" x14ac:dyDescent="0.25">
      <c r="A209" s="111" t="s">
        <v>184</v>
      </c>
      <c r="B209" s="34" t="s">
        <v>74</v>
      </c>
      <c r="C209" s="112" t="s">
        <v>74</v>
      </c>
      <c r="D209" s="111"/>
      <c r="E209" s="23">
        <v>0</v>
      </c>
      <c r="F209" s="23">
        <v>322039.03000000003</v>
      </c>
      <c r="G209" s="25">
        <f t="shared" ref="G209:G210" si="10">SUM(E209:F209)</f>
        <v>322039.03000000003</v>
      </c>
    </row>
    <row r="210" spans="1:7" x14ac:dyDescent="0.25">
      <c r="A210" s="116" t="s">
        <v>185</v>
      </c>
      <c r="B210" s="34" t="s">
        <v>163</v>
      </c>
      <c r="C210" s="112" t="s">
        <v>164</v>
      </c>
      <c r="D210" s="111"/>
      <c r="E210" s="23">
        <v>0</v>
      </c>
      <c r="F210" s="23">
        <v>86520</v>
      </c>
      <c r="G210" s="25">
        <f t="shared" si="10"/>
        <v>86520</v>
      </c>
    </row>
    <row r="211" spans="1:7" x14ac:dyDescent="0.25">
      <c r="A211" s="15" t="s">
        <v>5</v>
      </c>
      <c r="B211" s="254" t="s">
        <v>82</v>
      </c>
      <c r="C211" s="254"/>
      <c r="D211" s="254"/>
      <c r="E211" s="254"/>
      <c r="F211" s="254"/>
      <c r="G211" s="254"/>
    </row>
    <row r="212" spans="1:7" x14ac:dyDescent="0.25">
      <c r="A212" s="111" t="s">
        <v>188</v>
      </c>
      <c r="B212" s="51" t="s">
        <v>13</v>
      </c>
      <c r="C212" s="52" t="s">
        <v>189</v>
      </c>
      <c r="D212" s="111"/>
      <c r="E212" s="23">
        <v>0</v>
      </c>
      <c r="F212" s="23">
        <v>11354.5</v>
      </c>
      <c r="G212" s="25">
        <f>E212+F212</f>
        <v>11354.5</v>
      </c>
    </row>
    <row r="213" spans="1:7" x14ac:dyDescent="0.25">
      <c r="A213" s="253" t="s">
        <v>22</v>
      </c>
      <c r="B213" s="253"/>
      <c r="C213" s="253"/>
      <c r="D213" s="16"/>
      <c r="E213" s="106">
        <f>SUM(E209:E210)</f>
        <v>0</v>
      </c>
      <c r="F213" s="106">
        <f>F209+F210+F212</f>
        <v>419913.53</v>
      </c>
      <c r="G213" s="18">
        <f>G209+G210+G212</f>
        <v>419913.53</v>
      </c>
    </row>
    <row r="214" spans="1:7" x14ac:dyDescent="0.25">
      <c r="A214" s="15">
        <v>4</v>
      </c>
      <c r="B214" s="254" t="s">
        <v>192</v>
      </c>
      <c r="C214" s="254"/>
      <c r="D214" s="254"/>
      <c r="E214" s="254"/>
      <c r="F214" s="254"/>
      <c r="G214" s="254"/>
    </row>
    <row r="215" spans="1:7" x14ac:dyDescent="0.25">
      <c r="A215" s="253" t="s">
        <v>22</v>
      </c>
      <c r="B215" s="253"/>
      <c r="C215" s="253"/>
      <c r="D215" s="16"/>
      <c r="E215" s="106">
        <v>0</v>
      </c>
      <c r="F215" s="106">
        <v>0</v>
      </c>
      <c r="G215" s="18">
        <v>0</v>
      </c>
    </row>
    <row r="216" spans="1:7" x14ac:dyDescent="0.25">
      <c r="A216" s="15">
        <v>5</v>
      </c>
      <c r="B216" s="267" t="s">
        <v>193</v>
      </c>
      <c r="C216" s="268"/>
      <c r="D216" s="268"/>
      <c r="E216" s="268"/>
      <c r="F216" s="268"/>
      <c r="G216" s="269"/>
    </row>
    <row r="217" spans="1:7" x14ac:dyDescent="0.25">
      <c r="A217" s="111" t="s">
        <v>32</v>
      </c>
      <c r="B217" s="34" t="s">
        <v>3</v>
      </c>
      <c r="C217" s="112" t="s">
        <v>19</v>
      </c>
      <c r="D217" s="111"/>
      <c r="E217" s="23">
        <v>0</v>
      </c>
      <c r="F217" s="23">
        <v>40921.269999999997</v>
      </c>
      <c r="G217" s="23">
        <f>SUM(E217:F217)</f>
        <v>40921.269999999997</v>
      </c>
    </row>
    <row r="218" spans="1:7" x14ac:dyDescent="0.25">
      <c r="A218" s="253" t="s">
        <v>22</v>
      </c>
      <c r="B218" s="253"/>
      <c r="C218" s="253"/>
      <c r="D218" s="16"/>
      <c r="E218" s="106">
        <f>E217</f>
        <v>0</v>
      </c>
      <c r="F218" s="106">
        <f>F217</f>
        <v>40921.269999999997</v>
      </c>
      <c r="G218" s="18">
        <f>G217</f>
        <v>40921.269999999997</v>
      </c>
    </row>
    <row r="219" spans="1:7" x14ac:dyDescent="0.25">
      <c r="A219" s="255" t="s">
        <v>1</v>
      </c>
      <c r="B219" s="255"/>
      <c r="C219" s="255"/>
      <c r="D219" s="255"/>
      <c r="E219" s="39">
        <f>E205+E207+E213+E218</f>
        <v>0</v>
      </c>
      <c r="F219" s="39">
        <f>F213+F218+F205</f>
        <v>460834.80000000005</v>
      </c>
      <c r="G219" s="39">
        <f>E219+F219</f>
        <v>460834.80000000005</v>
      </c>
    </row>
    <row r="220" spans="1:7" x14ac:dyDescent="0.25">
      <c r="A220" s="266" t="s">
        <v>33</v>
      </c>
      <c r="B220" s="266"/>
      <c r="C220" s="266"/>
      <c r="D220" s="266"/>
      <c r="E220" s="266"/>
      <c r="F220" s="266"/>
      <c r="G220" s="266"/>
    </row>
    <row r="221" spans="1:7" x14ac:dyDescent="0.25">
      <c r="A221" s="12"/>
      <c r="B221" s="12"/>
      <c r="C221" s="11"/>
      <c r="D221" s="12"/>
      <c r="E221" s="108"/>
      <c r="F221" s="108"/>
      <c r="G221" s="108"/>
    </row>
    <row r="222" spans="1:7" x14ac:dyDescent="0.25">
      <c r="A222" s="258" t="s">
        <v>180</v>
      </c>
      <c r="B222" s="258"/>
      <c r="C222" s="258"/>
      <c r="D222" s="258"/>
      <c r="E222" s="258"/>
      <c r="F222" s="258"/>
      <c r="G222" s="258"/>
    </row>
    <row r="223" spans="1:7" ht="38.25" x14ac:dyDescent="0.25">
      <c r="A223" s="13" t="s">
        <v>27</v>
      </c>
      <c r="B223" s="13" t="s">
        <v>28</v>
      </c>
      <c r="C223" s="13" t="s">
        <v>29</v>
      </c>
      <c r="D223" s="13" t="s">
        <v>2</v>
      </c>
      <c r="E223" s="14" t="s">
        <v>181</v>
      </c>
      <c r="F223" s="14" t="s">
        <v>182</v>
      </c>
      <c r="G223" s="14" t="s">
        <v>183</v>
      </c>
    </row>
    <row r="224" spans="1:7" x14ac:dyDescent="0.25">
      <c r="A224" s="15">
        <v>1</v>
      </c>
      <c r="B224" s="254" t="s">
        <v>190</v>
      </c>
      <c r="C224" s="254"/>
      <c r="D224" s="254"/>
      <c r="E224" s="254"/>
      <c r="F224" s="254"/>
      <c r="G224" s="254"/>
    </row>
    <row r="225" spans="1:7" x14ac:dyDescent="0.25">
      <c r="A225" s="253" t="s">
        <v>22</v>
      </c>
      <c r="B225" s="253"/>
      <c r="C225" s="253"/>
      <c r="D225" s="16"/>
      <c r="E225" s="106">
        <v>0</v>
      </c>
      <c r="F225" s="106">
        <v>0</v>
      </c>
      <c r="G225" s="106">
        <f>E225+F225</f>
        <v>0</v>
      </c>
    </row>
    <row r="226" spans="1:7" x14ac:dyDescent="0.25">
      <c r="A226" s="15">
        <v>2</v>
      </c>
      <c r="B226" s="254" t="s">
        <v>191</v>
      </c>
      <c r="C226" s="254"/>
      <c r="D226" s="254"/>
      <c r="E226" s="254"/>
      <c r="F226" s="254"/>
      <c r="G226" s="254"/>
    </row>
    <row r="227" spans="1:7" x14ac:dyDescent="0.25">
      <c r="A227" s="81" t="s">
        <v>22</v>
      </c>
      <c r="B227" s="82"/>
      <c r="C227" s="83"/>
      <c r="D227" s="16"/>
      <c r="E227" s="107">
        <f>0</f>
        <v>0</v>
      </c>
      <c r="F227" s="107">
        <f>0</f>
        <v>0</v>
      </c>
      <c r="G227" s="20">
        <f>G226</f>
        <v>0</v>
      </c>
    </row>
    <row r="228" spans="1:7" x14ac:dyDescent="0.25">
      <c r="A228" s="15" t="s">
        <v>4</v>
      </c>
      <c r="B228" s="254" t="s">
        <v>187</v>
      </c>
      <c r="C228" s="254"/>
      <c r="D228" s="254"/>
      <c r="E228" s="254"/>
      <c r="F228" s="254"/>
      <c r="G228" s="254"/>
    </row>
    <row r="229" spans="1:7" x14ac:dyDescent="0.25">
      <c r="A229" s="111" t="s">
        <v>184</v>
      </c>
      <c r="B229" s="34" t="s">
        <v>74</v>
      </c>
      <c r="C229" s="112" t="s">
        <v>74</v>
      </c>
      <c r="D229" s="111"/>
      <c r="E229" s="23">
        <v>0</v>
      </c>
      <c r="F229" s="23">
        <v>169687.26</v>
      </c>
      <c r="G229" s="25">
        <f t="shared" ref="G229:G232" si="11">SUM(E229:F229)</f>
        <v>169687.26</v>
      </c>
    </row>
    <row r="230" spans="1:7" x14ac:dyDescent="0.25">
      <c r="A230" s="50" t="s">
        <v>185</v>
      </c>
      <c r="B230" s="109" t="s">
        <v>194</v>
      </c>
      <c r="C230" s="109" t="s">
        <v>195</v>
      </c>
      <c r="D230" s="50"/>
      <c r="E230" s="23">
        <v>0</v>
      </c>
      <c r="F230" s="23">
        <v>268884</v>
      </c>
      <c r="G230" s="25">
        <f t="shared" si="11"/>
        <v>268884</v>
      </c>
    </row>
    <row r="231" spans="1:7" x14ac:dyDescent="0.25">
      <c r="A231" s="111" t="s">
        <v>186</v>
      </c>
      <c r="B231" s="34" t="s">
        <v>163</v>
      </c>
      <c r="C231" s="112" t="s">
        <v>164</v>
      </c>
      <c r="D231" s="111"/>
      <c r="E231" s="23">
        <v>0</v>
      </c>
      <c r="F231" s="23">
        <v>94920</v>
      </c>
      <c r="G231" s="25">
        <f t="shared" si="11"/>
        <v>94920</v>
      </c>
    </row>
    <row r="232" spans="1:7" s="1" customFormat="1" x14ac:dyDescent="0.25">
      <c r="A232" s="111" t="s">
        <v>196</v>
      </c>
      <c r="B232" s="34" t="s">
        <v>197</v>
      </c>
      <c r="C232" s="112" t="s">
        <v>198</v>
      </c>
      <c r="D232" s="111"/>
      <c r="E232" s="23">
        <v>0</v>
      </c>
      <c r="F232" s="23">
        <v>39857.5</v>
      </c>
      <c r="G232" s="25">
        <f t="shared" si="11"/>
        <v>39857.5</v>
      </c>
    </row>
    <row r="233" spans="1:7" x14ac:dyDescent="0.25">
      <c r="A233" s="15" t="s">
        <v>5</v>
      </c>
      <c r="B233" s="254" t="s">
        <v>82</v>
      </c>
      <c r="C233" s="254"/>
      <c r="D233" s="254"/>
      <c r="E233" s="254"/>
      <c r="F233" s="254"/>
      <c r="G233" s="254"/>
    </row>
    <row r="234" spans="1:7" x14ac:dyDescent="0.25">
      <c r="A234" s="111" t="s">
        <v>188</v>
      </c>
      <c r="B234" s="51" t="s">
        <v>13</v>
      </c>
      <c r="C234" s="52" t="s">
        <v>189</v>
      </c>
      <c r="D234" s="111"/>
      <c r="E234" s="23">
        <v>0</v>
      </c>
      <c r="F234" s="23">
        <v>20380</v>
      </c>
      <c r="G234" s="25">
        <f>E234+F234</f>
        <v>20380</v>
      </c>
    </row>
    <row r="235" spans="1:7" x14ac:dyDescent="0.25">
      <c r="A235" s="253" t="s">
        <v>22</v>
      </c>
      <c r="B235" s="253"/>
      <c r="C235" s="253"/>
      <c r="D235" s="16"/>
      <c r="E235" s="106">
        <f>SUM(E229:E231)</f>
        <v>0</v>
      </c>
      <c r="F235" s="106">
        <f>F229+F230+F231+F232+F234</f>
        <v>593728.76</v>
      </c>
      <c r="G235" s="18">
        <f>E235+F235</f>
        <v>593728.76</v>
      </c>
    </row>
    <row r="236" spans="1:7" x14ac:dyDescent="0.25">
      <c r="A236" s="15">
        <v>4</v>
      </c>
      <c r="B236" s="254" t="s">
        <v>192</v>
      </c>
      <c r="C236" s="254"/>
      <c r="D236" s="254"/>
      <c r="E236" s="254"/>
      <c r="F236" s="254"/>
      <c r="G236" s="254"/>
    </row>
    <row r="237" spans="1:7" x14ac:dyDescent="0.25">
      <c r="A237" s="253" t="s">
        <v>22</v>
      </c>
      <c r="B237" s="253"/>
      <c r="C237" s="253"/>
      <c r="D237" s="16"/>
      <c r="E237" s="106">
        <v>0</v>
      </c>
      <c r="F237" s="106">
        <v>0</v>
      </c>
      <c r="G237" s="18">
        <v>0</v>
      </c>
    </row>
    <row r="238" spans="1:7" x14ac:dyDescent="0.25">
      <c r="A238" s="15">
        <v>5</v>
      </c>
      <c r="B238" s="267" t="s">
        <v>193</v>
      </c>
      <c r="C238" s="268"/>
      <c r="D238" s="268"/>
      <c r="E238" s="268"/>
      <c r="F238" s="268"/>
      <c r="G238" s="269"/>
    </row>
    <row r="239" spans="1:7" x14ac:dyDescent="0.25">
      <c r="A239" s="111" t="s">
        <v>32</v>
      </c>
      <c r="B239" s="34" t="s">
        <v>3</v>
      </c>
      <c r="C239" s="112" t="s">
        <v>19</v>
      </c>
      <c r="D239" s="111"/>
      <c r="E239" s="23">
        <v>0</v>
      </c>
      <c r="F239" s="23">
        <v>34684.1</v>
      </c>
      <c r="G239" s="23">
        <f>SUM(E239:F239)</f>
        <v>34684.1</v>
      </c>
    </row>
    <row r="240" spans="1:7" x14ac:dyDescent="0.25">
      <c r="A240" s="253" t="s">
        <v>22</v>
      </c>
      <c r="B240" s="253"/>
      <c r="C240" s="253"/>
      <c r="D240" s="16"/>
      <c r="E240" s="106">
        <f>E239</f>
        <v>0</v>
      </c>
      <c r="F240" s="106">
        <f>F239</f>
        <v>34684.1</v>
      </c>
      <c r="G240" s="18">
        <f>G239</f>
        <v>34684.1</v>
      </c>
    </row>
    <row r="241" spans="1:7" x14ac:dyDescent="0.25">
      <c r="A241" s="255" t="s">
        <v>1</v>
      </c>
      <c r="B241" s="255"/>
      <c r="C241" s="255"/>
      <c r="D241" s="255"/>
      <c r="E241" s="39">
        <f>E225+E227+E235+E240</f>
        <v>0</v>
      </c>
      <c r="F241" s="39">
        <f>F235+F240+F225</f>
        <v>628412.86</v>
      </c>
      <c r="G241" s="39">
        <f>E241+F241</f>
        <v>628412.86</v>
      </c>
    </row>
    <row r="242" spans="1:7" x14ac:dyDescent="0.25">
      <c r="A242" s="266" t="s">
        <v>33</v>
      </c>
      <c r="B242" s="266"/>
      <c r="C242" s="266"/>
      <c r="D242" s="266"/>
      <c r="E242" s="266"/>
      <c r="F242" s="266"/>
      <c r="G242" s="266"/>
    </row>
  </sheetData>
  <mergeCells count="155">
    <mergeCell ref="A242:G242"/>
    <mergeCell ref="B191:G191"/>
    <mergeCell ref="A193:C193"/>
    <mergeCell ref="B194:G194"/>
    <mergeCell ref="A195:C195"/>
    <mergeCell ref="B196:G196"/>
    <mergeCell ref="B95:G95"/>
    <mergeCell ref="A97:C97"/>
    <mergeCell ref="A98:D98"/>
    <mergeCell ref="A99:G99"/>
    <mergeCell ref="B111:G111"/>
    <mergeCell ref="A116:C116"/>
    <mergeCell ref="B173:G173"/>
    <mergeCell ref="A174:C174"/>
    <mergeCell ref="B175:G175"/>
    <mergeCell ref="A177:C177"/>
    <mergeCell ref="A178:D178"/>
    <mergeCell ref="A164:G164"/>
    <mergeCell ref="B166:G166"/>
    <mergeCell ref="A167:C167"/>
    <mergeCell ref="B168:G168"/>
    <mergeCell ref="B170:G170"/>
    <mergeCell ref="B156:G156"/>
    <mergeCell ref="B238:G238"/>
    <mergeCell ref="A240:C240"/>
    <mergeCell ref="A241:D241"/>
    <mergeCell ref="A235:C235"/>
    <mergeCell ref="B236:G236"/>
    <mergeCell ref="A237:C237"/>
    <mergeCell ref="B233:G233"/>
    <mergeCell ref="B206:G206"/>
    <mergeCell ref="A198:C198"/>
    <mergeCell ref="A199:D199"/>
    <mergeCell ref="A200:G200"/>
    <mergeCell ref="A202:G202"/>
    <mergeCell ref="B204:G204"/>
    <mergeCell ref="A205:C205"/>
    <mergeCell ref="B226:G226"/>
    <mergeCell ref="B228:G228"/>
    <mergeCell ref="A218:C218"/>
    <mergeCell ref="A219:D219"/>
    <mergeCell ref="A220:G220"/>
    <mergeCell ref="A222:G222"/>
    <mergeCell ref="B224:G224"/>
    <mergeCell ref="A225:C225"/>
    <mergeCell ref="B208:G208"/>
    <mergeCell ref="A213:C213"/>
    <mergeCell ref="B214:G214"/>
    <mergeCell ref="A136:C136"/>
    <mergeCell ref="B137:G137"/>
    <mergeCell ref="A139:C139"/>
    <mergeCell ref="A140:D140"/>
    <mergeCell ref="A141:G141"/>
    <mergeCell ref="A143:G143"/>
    <mergeCell ref="A126:C126"/>
    <mergeCell ref="B127:G127"/>
    <mergeCell ref="B129:G129"/>
    <mergeCell ref="A134:C134"/>
    <mergeCell ref="B135:G135"/>
    <mergeCell ref="B132:G132"/>
    <mergeCell ref="A215:C215"/>
    <mergeCell ref="B216:G216"/>
    <mergeCell ref="B211:G211"/>
    <mergeCell ref="A157:C157"/>
    <mergeCell ref="B158:G158"/>
    <mergeCell ref="A160:C160"/>
    <mergeCell ref="A161:D161"/>
    <mergeCell ref="A162:G162"/>
    <mergeCell ref="B145:G145"/>
    <mergeCell ref="A146:C146"/>
    <mergeCell ref="B147:G147"/>
    <mergeCell ref="B149:G149"/>
    <mergeCell ref="A155:C155"/>
    <mergeCell ref="B153:G153"/>
    <mergeCell ref="B187:G187"/>
    <mergeCell ref="A179:G179"/>
    <mergeCell ref="A181:G181"/>
    <mergeCell ref="B183:G183"/>
    <mergeCell ref="A184:C184"/>
    <mergeCell ref="B185:G185"/>
    <mergeCell ref="A172:C172"/>
    <mergeCell ref="B115:G115"/>
    <mergeCell ref="A121:G121"/>
    <mergeCell ref="A123:G123"/>
    <mergeCell ref="B125:G125"/>
    <mergeCell ref="B117:G117"/>
    <mergeCell ref="A119:C119"/>
    <mergeCell ref="A120:D120"/>
    <mergeCell ref="B105:G105"/>
    <mergeCell ref="B107:G107"/>
    <mergeCell ref="A114:C114"/>
    <mergeCell ref="A101:G101"/>
    <mergeCell ref="B103:G103"/>
    <mergeCell ref="A104:C104"/>
    <mergeCell ref="B88:G88"/>
    <mergeCell ref="B90:G90"/>
    <mergeCell ref="A92:C92"/>
    <mergeCell ref="B93:G93"/>
    <mergeCell ref="A94:C94"/>
    <mergeCell ref="A82:G82"/>
    <mergeCell ref="B84:G84"/>
    <mergeCell ref="A85:C85"/>
    <mergeCell ref="B86:G86"/>
    <mergeCell ref="A78:C78"/>
    <mergeCell ref="A79:D79"/>
    <mergeCell ref="A80:G80"/>
    <mergeCell ref="B67:G67"/>
    <mergeCell ref="A59:G59"/>
    <mergeCell ref="A61:G61"/>
    <mergeCell ref="B63:G63"/>
    <mergeCell ref="A64:C64"/>
    <mergeCell ref="B65:G65"/>
    <mergeCell ref="B71:G71"/>
    <mergeCell ref="A73:C73"/>
    <mergeCell ref="B74:G74"/>
    <mergeCell ref="A75:C75"/>
    <mergeCell ref="B76:G76"/>
    <mergeCell ref="A52:C52"/>
    <mergeCell ref="B53:G53"/>
    <mergeCell ref="A54:C54"/>
    <mergeCell ref="B55:G55"/>
    <mergeCell ref="A57:C57"/>
    <mergeCell ref="A58:D58"/>
    <mergeCell ref="A42:G42"/>
    <mergeCell ref="B44:G44"/>
    <mergeCell ref="A45:C45"/>
    <mergeCell ref="B46:G46"/>
    <mergeCell ref="B48:G48"/>
    <mergeCell ref="A40:G40"/>
    <mergeCell ref="B29:G29"/>
    <mergeCell ref="B31:G31"/>
    <mergeCell ref="A38:C38"/>
    <mergeCell ref="B20:G20"/>
    <mergeCell ref="A21:C21"/>
    <mergeCell ref="A22:D22"/>
    <mergeCell ref="A25:G25"/>
    <mergeCell ref="B27:G27"/>
    <mergeCell ref="A28:C28"/>
    <mergeCell ref="A33:C33"/>
    <mergeCell ref="B34:G34"/>
    <mergeCell ref="A35:C35"/>
    <mergeCell ref="B36:G36"/>
    <mergeCell ref="A39:D39"/>
    <mergeCell ref="A10:C10"/>
    <mergeCell ref="B11:G11"/>
    <mergeCell ref="B13:G13"/>
    <mergeCell ref="A17:C17"/>
    <mergeCell ref="B18:G18"/>
    <mergeCell ref="A19:C19"/>
    <mergeCell ref="A2:G2"/>
    <mergeCell ref="A3:G3"/>
    <mergeCell ref="B4:G4"/>
    <mergeCell ref="A5:G5"/>
    <mergeCell ref="A7:G7"/>
    <mergeCell ref="B9:G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4"/>
  <sheetViews>
    <sheetView topLeftCell="A196" workbookViewId="0">
      <selection activeCell="B36" sqref="B36:C36"/>
    </sheetView>
  </sheetViews>
  <sheetFormatPr defaultRowHeight="15" x14ac:dyDescent="0.25"/>
  <cols>
    <col min="1" max="1" width="14" customWidth="1"/>
    <col min="2" max="2" width="51" customWidth="1"/>
    <col min="3" max="3" width="44" bestFit="1" customWidth="1"/>
    <col min="4" max="4" width="11.5703125" hidden="1" customWidth="1"/>
    <col min="5" max="5" width="14.140625" bestFit="1" customWidth="1"/>
    <col min="6" max="6" width="15.5703125" bestFit="1" customWidth="1"/>
    <col min="7" max="7" width="15" bestFit="1" customWidth="1"/>
  </cols>
  <sheetData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212</v>
      </c>
      <c r="B5" s="265"/>
      <c r="C5" s="265"/>
      <c r="D5" s="265"/>
      <c r="E5" s="265"/>
      <c r="F5" s="265"/>
      <c r="G5" s="265"/>
    </row>
    <row r="6" spans="1:7" ht="15.75" x14ac:dyDescent="0.25">
      <c r="A6" s="120"/>
      <c r="B6" s="120"/>
      <c r="C6" s="120"/>
      <c r="D6" s="120"/>
      <c r="E6" s="120"/>
      <c r="F6" s="120"/>
      <c r="G6" s="120"/>
    </row>
    <row r="7" spans="1:7" x14ac:dyDescent="0.25">
      <c r="A7" s="258" t="s">
        <v>200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213</v>
      </c>
      <c r="F8" s="14" t="s">
        <v>214</v>
      </c>
      <c r="G8" s="14" t="s">
        <v>215</v>
      </c>
    </row>
    <row r="9" spans="1:7" x14ac:dyDescent="0.25">
      <c r="A9" s="15">
        <v>1</v>
      </c>
      <c r="B9" s="254" t="s">
        <v>190</v>
      </c>
      <c r="C9" s="254"/>
      <c r="D9" s="254"/>
      <c r="E9" s="254"/>
      <c r="F9" s="254"/>
      <c r="G9" s="254"/>
    </row>
    <row r="10" spans="1:7" x14ac:dyDescent="0.25">
      <c r="A10" s="253" t="s">
        <v>22</v>
      </c>
      <c r="B10" s="253"/>
      <c r="C10" s="253"/>
      <c r="D10" s="16"/>
      <c r="E10" s="106">
        <v>0</v>
      </c>
      <c r="F10" s="106">
        <v>0</v>
      </c>
      <c r="G10" s="106">
        <f>E10+F10</f>
        <v>0</v>
      </c>
    </row>
    <row r="11" spans="1:7" x14ac:dyDescent="0.25">
      <c r="A11" s="15">
        <v>2</v>
      </c>
      <c r="B11" s="254" t="s">
        <v>191</v>
      </c>
      <c r="C11" s="254"/>
      <c r="D11" s="254"/>
      <c r="E11" s="254"/>
      <c r="F11" s="254"/>
      <c r="G11" s="254"/>
    </row>
    <row r="12" spans="1:7" x14ac:dyDescent="0.25">
      <c r="A12" s="81" t="s">
        <v>22</v>
      </c>
      <c r="B12" s="82"/>
      <c r="C12" s="83"/>
      <c r="D12" s="16"/>
      <c r="E12" s="107">
        <f>0</f>
        <v>0</v>
      </c>
      <c r="F12" s="107">
        <f>0</f>
        <v>0</v>
      </c>
      <c r="G12" s="20">
        <f>G11</f>
        <v>0</v>
      </c>
    </row>
    <row r="13" spans="1:7" x14ac:dyDescent="0.25">
      <c r="A13" s="15">
        <v>3</v>
      </c>
      <c r="B13" s="254" t="s">
        <v>187</v>
      </c>
      <c r="C13" s="254"/>
      <c r="D13" s="254"/>
      <c r="E13" s="254"/>
      <c r="F13" s="254"/>
      <c r="G13" s="254"/>
    </row>
    <row r="14" spans="1:7" x14ac:dyDescent="0.25">
      <c r="A14" s="118" t="s">
        <v>4</v>
      </c>
      <c r="B14" s="33" t="s">
        <v>74</v>
      </c>
      <c r="C14" s="119" t="s">
        <v>74</v>
      </c>
      <c r="D14" s="118"/>
      <c r="E14" s="28">
        <v>0</v>
      </c>
      <c r="F14" s="28">
        <v>139406.85</v>
      </c>
      <c r="G14" s="30">
        <f>SUM(E14:F14)</f>
        <v>139406.85</v>
      </c>
    </row>
    <row r="15" spans="1:7" x14ac:dyDescent="0.25">
      <c r="A15" s="118" t="s">
        <v>5</v>
      </c>
      <c r="B15" s="119" t="s">
        <v>10</v>
      </c>
      <c r="C15" s="119" t="s">
        <v>11</v>
      </c>
      <c r="D15" s="118"/>
      <c r="E15" s="28">
        <v>95436.74</v>
      </c>
      <c r="F15" s="28">
        <v>0</v>
      </c>
      <c r="G15" s="30">
        <f t="shared" ref="G15:G16" si="0">SUM(E15:F15)</f>
        <v>95436.74</v>
      </c>
    </row>
    <row r="16" spans="1:7" x14ac:dyDescent="0.25">
      <c r="A16" s="118" t="s">
        <v>6</v>
      </c>
      <c r="B16" s="33" t="s">
        <v>163</v>
      </c>
      <c r="C16" s="119" t="s">
        <v>164</v>
      </c>
      <c r="D16" s="118"/>
      <c r="E16" s="28">
        <v>38920</v>
      </c>
      <c r="F16" s="28">
        <v>0</v>
      </c>
      <c r="G16" s="30">
        <f t="shared" si="0"/>
        <v>38920</v>
      </c>
    </row>
    <row r="17" spans="1:7" s="1" customFormat="1" x14ac:dyDescent="0.25">
      <c r="A17" s="118" t="s">
        <v>18</v>
      </c>
      <c r="B17" s="119" t="s">
        <v>194</v>
      </c>
      <c r="C17" s="119" t="s">
        <v>195</v>
      </c>
      <c r="D17" s="118"/>
      <c r="E17" s="28">
        <v>143050</v>
      </c>
      <c r="F17" s="28">
        <v>0</v>
      </c>
      <c r="G17" s="30">
        <f t="shared" ref="G17" si="1">SUM(E17:F17)</f>
        <v>143050</v>
      </c>
    </row>
    <row r="18" spans="1:7" x14ac:dyDescent="0.25">
      <c r="A18" s="253" t="s">
        <v>22</v>
      </c>
      <c r="B18" s="253"/>
      <c r="C18" s="253"/>
      <c r="D18" s="16"/>
      <c r="E18" s="106">
        <f>SUM(E14:E17)</f>
        <v>277406.74</v>
      </c>
      <c r="F18" s="106">
        <f>SUM(F14:F17)</f>
        <v>139406.85</v>
      </c>
      <c r="G18" s="18">
        <f>SUM(G13:G17)</f>
        <v>416813.59</v>
      </c>
    </row>
    <row r="19" spans="1:7" x14ac:dyDescent="0.25">
      <c r="A19" s="15">
        <v>4</v>
      </c>
      <c r="B19" s="254" t="s">
        <v>192</v>
      </c>
      <c r="C19" s="254"/>
      <c r="D19" s="254"/>
      <c r="E19" s="254"/>
      <c r="F19" s="254"/>
      <c r="G19" s="254"/>
    </row>
    <row r="20" spans="1:7" x14ac:dyDescent="0.25">
      <c r="A20" s="253" t="s">
        <v>22</v>
      </c>
      <c r="B20" s="253"/>
      <c r="C20" s="253"/>
      <c r="D20" s="16"/>
      <c r="E20" s="106">
        <v>0</v>
      </c>
      <c r="F20" s="106">
        <v>0</v>
      </c>
      <c r="G20" s="18">
        <v>0</v>
      </c>
    </row>
    <row r="21" spans="1:7" x14ac:dyDescent="0.25">
      <c r="A21" s="15">
        <v>5</v>
      </c>
      <c r="B21" s="267" t="s">
        <v>193</v>
      </c>
      <c r="C21" s="268"/>
      <c r="D21" s="268"/>
      <c r="E21" s="268"/>
      <c r="F21" s="268"/>
      <c r="G21" s="269"/>
    </row>
    <row r="22" spans="1:7" s="1" customFormat="1" x14ac:dyDescent="0.25">
      <c r="A22" s="118" t="s">
        <v>32</v>
      </c>
      <c r="B22" s="33" t="s">
        <v>3</v>
      </c>
      <c r="C22" s="119" t="s">
        <v>19</v>
      </c>
      <c r="D22" s="118"/>
      <c r="E22" s="28">
        <v>48251.18</v>
      </c>
      <c r="F22" s="28">
        <v>0</v>
      </c>
      <c r="G22" s="28">
        <f>SUM(E22:F22)</f>
        <v>48251.18</v>
      </c>
    </row>
    <row r="23" spans="1:7" x14ac:dyDescent="0.25">
      <c r="A23" s="253" t="s">
        <v>22</v>
      </c>
      <c r="B23" s="253"/>
      <c r="C23" s="253"/>
      <c r="D23" s="16"/>
      <c r="E23" s="106">
        <v>0</v>
      </c>
      <c r="F23" s="106">
        <f>F22</f>
        <v>0</v>
      </c>
      <c r="G23" s="18">
        <f>SUM(E23:F23)</f>
        <v>0</v>
      </c>
    </row>
    <row r="24" spans="1:7" x14ac:dyDescent="0.25">
      <c r="A24" s="255" t="s">
        <v>1</v>
      </c>
      <c r="B24" s="255"/>
      <c r="C24" s="255"/>
      <c r="D24" s="255"/>
      <c r="E24" s="39">
        <f>E10+E12+E18+E23</f>
        <v>277406.74</v>
      </c>
      <c r="F24" s="39">
        <f>F18+F23+F10</f>
        <v>139406.85</v>
      </c>
      <c r="G24" s="39">
        <f>E24+F24</f>
        <v>416813.58999999997</v>
      </c>
    </row>
    <row r="25" spans="1:7" x14ac:dyDescent="0.25">
      <c r="A25" s="10" t="s">
        <v>33</v>
      </c>
      <c r="B25" s="10"/>
      <c r="C25" s="11"/>
      <c r="D25" s="12"/>
      <c r="E25" s="108"/>
      <c r="F25" s="108"/>
      <c r="G25" s="108"/>
    </row>
    <row r="26" spans="1:7" x14ac:dyDescent="0.25">
      <c r="A26" s="1"/>
      <c r="B26" s="1"/>
      <c r="C26" s="2"/>
      <c r="D26" s="1"/>
      <c r="E26" s="105"/>
      <c r="F26" s="105"/>
      <c r="G26" s="105"/>
    </row>
    <row r="27" spans="1:7" x14ac:dyDescent="0.25">
      <c r="A27" s="258" t="s">
        <v>201</v>
      </c>
      <c r="B27" s="258"/>
      <c r="C27" s="258"/>
      <c r="D27" s="258"/>
      <c r="E27" s="258"/>
      <c r="F27" s="258"/>
      <c r="G27" s="258"/>
    </row>
    <row r="28" spans="1:7" ht="38.25" x14ac:dyDescent="0.25">
      <c r="A28" s="13" t="s">
        <v>27</v>
      </c>
      <c r="B28" s="13" t="s">
        <v>28</v>
      </c>
      <c r="C28" s="13" t="s">
        <v>29</v>
      </c>
      <c r="D28" s="13" t="s">
        <v>2</v>
      </c>
      <c r="E28" s="14" t="s">
        <v>213</v>
      </c>
      <c r="F28" s="14" t="s">
        <v>214</v>
      </c>
      <c r="G28" s="14" t="s">
        <v>215</v>
      </c>
    </row>
    <row r="29" spans="1:7" x14ac:dyDescent="0.25">
      <c r="A29" s="15">
        <v>1</v>
      </c>
      <c r="B29" s="254" t="s">
        <v>190</v>
      </c>
      <c r="C29" s="254"/>
      <c r="D29" s="254"/>
      <c r="E29" s="254"/>
      <c r="F29" s="254"/>
      <c r="G29" s="254"/>
    </row>
    <row r="30" spans="1:7" x14ac:dyDescent="0.25">
      <c r="A30" s="253" t="s">
        <v>22</v>
      </c>
      <c r="B30" s="253"/>
      <c r="C30" s="253"/>
      <c r="D30" s="16"/>
      <c r="E30" s="106">
        <v>0</v>
      </c>
      <c r="F30" s="106">
        <v>0</v>
      </c>
      <c r="G30" s="106">
        <f>E30+F30</f>
        <v>0</v>
      </c>
    </row>
    <row r="31" spans="1:7" x14ac:dyDescent="0.25">
      <c r="A31" s="15">
        <v>2</v>
      </c>
      <c r="B31" s="254" t="s">
        <v>191</v>
      </c>
      <c r="C31" s="254"/>
      <c r="D31" s="254"/>
      <c r="E31" s="254"/>
      <c r="F31" s="254"/>
      <c r="G31" s="254"/>
    </row>
    <row r="32" spans="1:7" x14ac:dyDescent="0.25">
      <c r="A32" s="81" t="s">
        <v>22</v>
      </c>
      <c r="B32" s="82"/>
      <c r="C32" s="83"/>
      <c r="D32" s="16"/>
      <c r="E32" s="107">
        <f>0</f>
        <v>0</v>
      </c>
      <c r="F32" s="107">
        <f>0</f>
        <v>0</v>
      </c>
      <c r="G32" s="20">
        <f>G31</f>
        <v>0</v>
      </c>
    </row>
    <row r="33" spans="1:7" x14ac:dyDescent="0.25">
      <c r="A33" s="15">
        <v>3</v>
      </c>
      <c r="B33" s="254" t="s">
        <v>187</v>
      </c>
      <c r="C33" s="254"/>
      <c r="D33" s="254"/>
      <c r="E33" s="254"/>
      <c r="F33" s="254"/>
      <c r="G33" s="254"/>
    </row>
    <row r="34" spans="1:7" x14ac:dyDescent="0.25">
      <c r="A34" s="118" t="s">
        <v>4</v>
      </c>
      <c r="B34" s="33" t="s">
        <v>163</v>
      </c>
      <c r="C34" s="119" t="s">
        <v>164</v>
      </c>
      <c r="D34" s="118"/>
      <c r="E34" s="28">
        <v>0</v>
      </c>
      <c r="F34" s="28">
        <v>147840</v>
      </c>
      <c r="G34" s="30">
        <f t="shared" ref="G34" si="2">SUM(E34:F34)</f>
        <v>147840</v>
      </c>
    </row>
    <row r="35" spans="1:7" s="1" customFormat="1" x14ac:dyDescent="0.25">
      <c r="A35" s="118" t="s">
        <v>5</v>
      </c>
      <c r="B35" s="33" t="s">
        <v>74</v>
      </c>
      <c r="C35" s="119" t="s">
        <v>74</v>
      </c>
      <c r="D35" s="118"/>
      <c r="E35" s="28">
        <v>0</v>
      </c>
      <c r="F35" s="28">
        <v>249480.58</v>
      </c>
      <c r="G35" s="30">
        <f t="shared" ref="G35" si="3">SUM(E35:F35)</f>
        <v>249480.58</v>
      </c>
    </row>
    <row r="36" spans="1:7" s="1" customFormat="1" x14ac:dyDescent="0.25">
      <c r="A36" s="118" t="s">
        <v>6</v>
      </c>
      <c r="B36" s="33" t="s">
        <v>13</v>
      </c>
      <c r="C36" s="119" t="s">
        <v>189</v>
      </c>
      <c r="D36" s="118"/>
      <c r="E36" s="28">
        <v>0</v>
      </c>
      <c r="F36" s="28">
        <v>10732.5</v>
      </c>
      <c r="G36" s="30">
        <f t="shared" ref="G36" si="4">SUM(E36:F36)</f>
        <v>10732.5</v>
      </c>
    </row>
    <row r="37" spans="1:7" x14ac:dyDescent="0.25">
      <c r="A37" s="253" t="s">
        <v>22</v>
      </c>
      <c r="B37" s="253"/>
      <c r="C37" s="253"/>
      <c r="D37" s="16"/>
      <c r="E37" s="106">
        <f>SUM(E34:E34)</f>
        <v>0</v>
      </c>
      <c r="F37" s="106">
        <f>SUM(F34:F36)</f>
        <v>408053.07999999996</v>
      </c>
      <c r="G37" s="18">
        <f>SUM(G34:G36)</f>
        <v>408053.07999999996</v>
      </c>
    </row>
    <row r="38" spans="1:7" x14ac:dyDescent="0.25">
      <c r="A38" s="15">
        <v>4</v>
      </c>
      <c r="B38" s="254" t="s">
        <v>192</v>
      </c>
      <c r="C38" s="254"/>
      <c r="D38" s="254"/>
      <c r="E38" s="254"/>
      <c r="F38" s="254"/>
      <c r="G38" s="254"/>
    </row>
    <row r="39" spans="1:7" x14ac:dyDescent="0.25">
      <c r="A39" s="253" t="s">
        <v>22</v>
      </c>
      <c r="B39" s="253"/>
      <c r="C39" s="253"/>
      <c r="D39" s="16"/>
      <c r="E39" s="106">
        <v>0</v>
      </c>
      <c r="F39" s="106">
        <v>0</v>
      </c>
      <c r="G39" s="18">
        <v>0</v>
      </c>
    </row>
    <row r="40" spans="1:7" x14ac:dyDescent="0.25">
      <c r="A40" s="15">
        <v>5</v>
      </c>
      <c r="B40" s="267" t="s">
        <v>193</v>
      </c>
      <c r="C40" s="268"/>
      <c r="D40" s="268"/>
      <c r="E40" s="268"/>
      <c r="F40" s="268"/>
      <c r="G40" s="269"/>
    </row>
    <row r="41" spans="1:7" x14ac:dyDescent="0.25">
      <c r="A41" s="118" t="s">
        <v>32</v>
      </c>
      <c r="B41" s="33" t="s">
        <v>3</v>
      </c>
      <c r="C41" s="119" t="s">
        <v>19</v>
      </c>
      <c r="D41" s="118"/>
      <c r="E41" s="28">
        <v>0</v>
      </c>
      <c r="F41" s="28">
        <v>46978.13</v>
      </c>
      <c r="G41" s="28">
        <f>SUM(E41:F41)</f>
        <v>46978.13</v>
      </c>
    </row>
    <row r="42" spans="1:7" x14ac:dyDescent="0.25">
      <c r="A42" s="253" t="s">
        <v>22</v>
      </c>
      <c r="B42" s="253"/>
      <c r="C42" s="253"/>
      <c r="D42" s="16"/>
      <c r="E42" s="106">
        <f>E41</f>
        <v>0</v>
      </c>
      <c r="F42" s="106">
        <f>F41</f>
        <v>46978.13</v>
      </c>
      <c r="G42" s="18">
        <f>G41</f>
        <v>46978.13</v>
      </c>
    </row>
    <row r="43" spans="1:7" x14ac:dyDescent="0.25">
      <c r="A43" s="255" t="s">
        <v>1</v>
      </c>
      <c r="B43" s="255"/>
      <c r="C43" s="255"/>
      <c r="D43" s="255"/>
      <c r="E43" s="39">
        <f>E30+E32+E37+E42</f>
        <v>0</v>
      </c>
      <c r="F43" s="39">
        <f>F37+F42+F30</f>
        <v>455031.20999999996</v>
      </c>
      <c r="G43" s="39">
        <f>E43+F43</f>
        <v>455031.20999999996</v>
      </c>
    </row>
    <row r="44" spans="1:7" x14ac:dyDescent="0.25">
      <c r="A44" s="266" t="s">
        <v>33</v>
      </c>
      <c r="B44" s="266"/>
      <c r="C44" s="266"/>
      <c r="D44" s="266"/>
      <c r="E44" s="266"/>
      <c r="F44" s="266"/>
      <c r="G44" s="266"/>
    </row>
    <row r="45" spans="1:7" x14ac:dyDescent="0.25">
      <c r="A45" s="12"/>
      <c r="B45" s="12"/>
      <c r="C45" s="11"/>
      <c r="D45" s="12"/>
      <c r="E45" s="108"/>
      <c r="F45" s="108"/>
      <c r="G45" s="108"/>
    </row>
    <row r="46" spans="1:7" x14ac:dyDescent="0.25">
      <c r="A46" s="258" t="s">
        <v>202</v>
      </c>
      <c r="B46" s="258"/>
      <c r="C46" s="258"/>
      <c r="D46" s="258"/>
      <c r="E46" s="258"/>
      <c r="F46" s="258"/>
      <c r="G46" s="258"/>
    </row>
    <row r="47" spans="1:7" ht="38.25" x14ac:dyDescent="0.25">
      <c r="A47" s="13" t="s">
        <v>27</v>
      </c>
      <c r="B47" s="13" t="s">
        <v>28</v>
      </c>
      <c r="C47" s="13" t="s">
        <v>29</v>
      </c>
      <c r="D47" s="13" t="s">
        <v>2</v>
      </c>
      <c r="E47" s="14" t="s">
        <v>213</v>
      </c>
      <c r="F47" s="14" t="s">
        <v>214</v>
      </c>
      <c r="G47" s="14" t="s">
        <v>215</v>
      </c>
    </row>
    <row r="48" spans="1:7" x14ac:dyDescent="0.25">
      <c r="A48" s="15">
        <v>1</v>
      </c>
      <c r="B48" s="254" t="s">
        <v>190</v>
      </c>
      <c r="C48" s="254"/>
      <c r="D48" s="254"/>
      <c r="E48" s="254"/>
      <c r="F48" s="254"/>
      <c r="G48" s="254"/>
    </row>
    <row r="49" spans="1:7" x14ac:dyDescent="0.25">
      <c r="A49" s="253" t="s">
        <v>22</v>
      </c>
      <c r="B49" s="253"/>
      <c r="C49" s="253"/>
      <c r="D49" s="16"/>
      <c r="E49" s="106">
        <v>0</v>
      </c>
      <c r="F49" s="106">
        <v>0</v>
      </c>
      <c r="G49" s="106">
        <f>E49+F49</f>
        <v>0</v>
      </c>
    </row>
    <row r="50" spans="1:7" x14ac:dyDescent="0.25">
      <c r="A50" s="15">
        <v>2</v>
      </c>
      <c r="B50" s="254" t="s">
        <v>191</v>
      </c>
      <c r="C50" s="254"/>
      <c r="D50" s="254"/>
      <c r="E50" s="254"/>
      <c r="F50" s="254"/>
      <c r="G50" s="254"/>
    </row>
    <row r="51" spans="1:7" s="1" customFormat="1" x14ac:dyDescent="0.25">
      <c r="A51" s="118" t="s">
        <v>218</v>
      </c>
      <c r="B51" s="33" t="s">
        <v>219</v>
      </c>
      <c r="C51" s="119" t="s">
        <v>220</v>
      </c>
      <c r="D51" s="118"/>
      <c r="E51" s="28">
        <v>0</v>
      </c>
      <c r="F51" s="28">
        <v>227491.04</v>
      </c>
      <c r="G51" s="30">
        <f t="shared" ref="G51" si="5">SUM(E51:F51)</f>
        <v>227491.04</v>
      </c>
    </row>
    <row r="52" spans="1:7" s="1" customFormat="1" x14ac:dyDescent="0.25">
      <c r="A52" s="118" t="s">
        <v>221</v>
      </c>
      <c r="B52" s="33" t="s">
        <v>222</v>
      </c>
      <c r="C52" s="119" t="s">
        <v>220</v>
      </c>
      <c r="D52" s="118"/>
      <c r="E52" s="28">
        <v>0</v>
      </c>
      <c r="F52" s="28">
        <v>818202.89</v>
      </c>
      <c r="G52" s="30">
        <f t="shared" ref="G52" si="6">SUM(E52:F52)</f>
        <v>818202.89</v>
      </c>
    </row>
    <row r="53" spans="1:7" x14ac:dyDescent="0.25">
      <c r="A53" s="81" t="s">
        <v>22</v>
      </c>
      <c r="B53" s="82"/>
      <c r="C53" s="83"/>
      <c r="D53" s="16"/>
      <c r="E53" s="107">
        <f>0</f>
        <v>0</v>
      </c>
      <c r="F53" s="107">
        <f>F51+F52</f>
        <v>1045693.93</v>
      </c>
      <c r="G53" s="20">
        <f>G51+G52</f>
        <v>1045693.93</v>
      </c>
    </row>
    <row r="54" spans="1:7" x14ac:dyDescent="0.25">
      <c r="A54" s="15">
        <v>3</v>
      </c>
      <c r="B54" s="254" t="s">
        <v>187</v>
      </c>
      <c r="C54" s="254"/>
      <c r="D54" s="254"/>
      <c r="E54" s="254"/>
      <c r="F54" s="254"/>
      <c r="G54" s="254"/>
    </row>
    <row r="55" spans="1:7" x14ac:dyDescent="0.25">
      <c r="A55" s="118" t="s">
        <v>4</v>
      </c>
      <c r="B55" s="33" t="s">
        <v>74</v>
      </c>
      <c r="C55" s="119" t="s">
        <v>74</v>
      </c>
      <c r="D55" s="118"/>
      <c r="E55" s="28">
        <v>0</v>
      </c>
      <c r="F55" s="28">
        <v>229667.62</v>
      </c>
      <c r="G55" s="30">
        <f t="shared" ref="G55:G56" si="7">SUM(E55:F55)</f>
        <v>229667.62</v>
      </c>
    </row>
    <row r="56" spans="1:7" x14ac:dyDescent="0.25">
      <c r="A56" s="118" t="s">
        <v>5</v>
      </c>
      <c r="B56" s="33" t="s">
        <v>163</v>
      </c>
      <c r="C56" s="119" t="s">
        <v>164</v>
      </c>
      <c r="D56" s="118"/>
      <c r="E56" s="28">
        <v>0</v>
      </c>
      <c r="F56" s="28">
        <v>124320</v>
      </c>
      <c r="G56" s="30">
        <f t="shared" si="7"/>
        <v>124320</v>
      </c>
    </row>
    <row r="57" spans="1:7" x14ac:dyDescent="0.25">
      <c r="A57" s="253" t="s">
        <v>22</v>
      </c>
      <c r="B57" s="253"/>
      <c r="C57" s="253"/>
      <c r="D57" s="16"/>
      <c r="E57" s="106">
        <f>SUM(E55:E56)</f>
        <v>0</v>
      </c>
      <c r="F57" s="106">
        <f>SUM(F55:F56)</f>
        <v>353987.62</v>
      </c>
      <c r="G57" s="18">
        <f>SUM(G54:G56)</f>
        <v>353987.62</v>
      </c>
    </row>
    <row r="58" spans="1:7" x14ac:dyDescent="0.25">
      <c r="A58" s="15">
        <v>4</v>
      </c>
      <c r="B58" s="254" t="s">
        <v>192</v>
      </c>
      <c r="C58" s="254"/>
      <c r="D58" s="254"/>
      <c r="E58" s="254"/>
      <c r="F58" s="254"/>
      <c r="G58" s="254"/>
    </row>
    <row r="59" spans="1:7" x14ac:dyDescent="0.25">
      <c r="A59" s="253" t="s">
        <v>22</v>
      </c>
      <c r="B59" s="253"/>
      <c r="C59" s="253"/>
      <c r="D59" s="16"/>
      <c r="E59" s="106">
        <v>0</v>
      </c>
      <c r="F59" s="106">
        <v>0</v>
      </c>
      <c r="G59" s="18">
        <v>0</v>
      </c>
    </row>
    <row r="60" spans="1:7" x14ac:dyDescent="0.25">
      <c r="A60" s="15">
        <v>5</v>
      </c>
      <c r="B60" s="267" t="s">
        <v>193</v>
      </c>
      <c r="C60" s="268"/>
      <c r="D60" s="268"/>
      <c r="E60" s="268"/>
      <c r="F60" s="268"/>
      <c r="G60" s="269"/>
    </row>
    <row r="61" spans="1:7" x14ac:dyDescent="0.25">
      <c r="A61" s="118" t="s">
        <v>32</v>
      </c>
      <c r="B61" s="33" t="s">
        <v>3</v>
      </c>
      <c r="C61" s="119" t="s">
        <v>19</v>
      </c>
      <c r="D61" s="118"/>
      <c r="E61" s="28">
        <v>0</v>
      </c>
      <c r="F61" s="28">
        <v>27441.56</v>
      </c>
      <c r="G61" s="28">
        <f>SUM(E61:F61)</f>
        <v>27441.56</v>
      </c>
    </row>
    <row r="62" spans="1:7" x14ac:dyDescent="0.25">
      <c r="A62" s="253" t="s">
        <v>22</v>
      </c>
      <c r="B62" s="253"/>
      <c r="C62" s="253"/>
      <c r="D62" s="16"/>
      <c r="E62" s="106">
        <f>E61</f>
        <v>0</v>
      </c>
      <c r="F62" s="106">
        <f>F61</f>
        <v>27441.56</v>
      </c>
      <c r="G62" s="18">
        <f>G61</f>
        <v>27441.56</v>
      </c>
    </row>
    <row r="63" spans="1:7" x14ac:dyDescent="0.25">
      <c r="A63" s="255" t="s">
        <v>1</v>
      </c>
      <c r="B63" s="255"/>
      <c r="C63" s="255"/>
      <c r="D63" s="255"/>
      <c r="E63" s="39">
        <f>E49+E53+E57+E62</f>
        <v>0</v>
      </c>
      <c r="F63" s="39">
        <f>F57+F62+F49+F53</f>
        <v>1427123.11</v>
      </c>
      <c r="G63" s="39">
        <f>E63+F63</f>
        <v>1427123.11</v>
      </c>
    </row>
    <row r="64" spans="1:7" x14ac:dyDescent="0.25">
      <c r="A64" s="266" t="s">
        <v>33</v>
      </c>
      <c r="B64" s="266"/>
      <c r="C64" s="266"/>
      <c r="D64" s="266"/>
      <c r="E64" s="266"/>
      <c r="F64" s="266"/>
      <c r="G64" s="266"/>
    </row>
    <row r="65" spans="1:7" x14ac:dyDescent="0.25">
      <c r="A65" s="12"/>
      <c r="B65" s="12"/>
      <c r="C65" s="11"/>
      <c r="D65" s="12"/>
      <c r="E65" s="108"/>
      <c r="F65" s="108"/>
      <c r="G65" s="108"/>
    </row>
    <row r="66" spans="1:7" x14ac:dyDescent="0.25">
      <c r="A66" s="258" t="s">
        <v>203</v>
      </c>
      <c r="B66" s="258"/>
      <c r="C66" s="258"/>
      <c r="D66" s="258"/>
      <c r="E66" s="258"/>
      <c r="F66" s="258"/>
      <c r="G66" s="258"/>
    </row>
    <row r="67" spans="1:7" ht="38.25" x14ac:dyDescent="0.25">
      <c r="A67" s="13" t="s">
        <v>27</v>
      </c>
      <c r="B67" s="13" t="s">
        <v>28</v>
      </c>
      <c r="C67" s="13" t="s">
        <v>29</v>
      </c>
      <c r="D67" s="13" t="s">
        <v>2</v>
      </c>
      <c r="E67" s="14" t="s">
        <v>213</v>
      </c>
      <c r="F67" s="14" t="s">
        <v>214</v>
      </c>
      <c r="G67" s="14" t="s">
        <v>215</v>
      </c>
    </row>
    <row r="68" spans="1:7" x14ac:dyDescent="0.25">
      <c r="A68" s="15">
        <v>1</v>
      </c>
      <c r="B68" s="254" t="s">
        <v>190</v>
      </c>
      <c r="C68" s="254"/>
      <c r="D68" s="254"/>
      <c r="E68" s="254"/>
      <c r="F68" s="254"/>
      <c r="G68" s="254"/>
    </row>
    <row r="69" spans="1:7" x14ac:dyDescent="0.25">
      <c r="A69" s="253" t="s">
        <v>22</v>
      </c>
      <c r="B69" s="253"/>
      <c r="C69" s="253"/>
      <c r="D69" s="16"/>
      <c r="E69" s="106">
        <v>0</v>
      </c>
      <c r="F69" s="106">
        <v>0</v>
      </c>
      <c r="G69" s="106">
        <f>E69+F69</f>
        <v>0</v>
      </c>
    </row>
    <row r="70" spans="1:7" x14ac:dyDescent="0.25">
      <c r="A70" s="15">
        <v>2</v>
      </c>
      <c r="B70" s="254" t="s">
        <v>191</v>
      </c>
      <c r="C70" s="254"/>
      <c r="D70" s="254"/>
      <c r="E70" s="254"/>
      <c r="F70" s="254"/>
      <c r="G70" s="254"/>
    </row>
    <row r="71" spans="1:7" s="1" customFormat="1" x14ac:dyDescent="0.25">
      <c r="A71" s="118" t="s">
        <v>218</v>
      </c>
      <c r="B71" s="33" t="s">
        <v>219</v>
      </c>
      <c r="C71" s="119" t="s">
        <v>223</v>
      </c>
      <c r="D71" s="118"/>
      <c r="E71" s="28">
        <v>0</v>
      </c>
      <c r="F71" s="28">
        <v>91126</v>
      </c>
      <c r="G71" s="30">
        <f t="shared" ref="G71:G72" si="8">SUM(E71:F71)</f>
        <v>91126</v>
      </c>
    </row>
    <row r="72" spans="1:7" s="1" customFormat="1" x14ac:dyDescent="0.25">
      <c r="A72" s="118" t="s">
        <v>221</v>
      </c>
      <c r="B72" s="33" t="s">
        <v>219</v>
      </c>
      <c r="C72" s="119" t="s">
        <v>220</v>
      </c>
      <c r="D72" s="118"/>
      <c r="E72" s="28">
        <v>0</v>
      </c>
      <c r="F72" s="28">
        <v>9944.7000000000007</v>
      </c>
      <c r="G72" s="30">
        <f t="shared" si="8"/>
        <v>9944.7000000000007</v>
      </c>
    </row>
    <row r="73" spans="1:7" x14ac:dyDescent="0.25">
      <c r="A73" s="81" t="s">
        <v>22</v>
      </c>
      <c r="B73" s="82"/>
      <c r="C73" s="83"/>
      <c r="D73" s="16"/>
      <c r="E73" s="107">
        <f>0</f>
        <v>0</v>
      </c>
      <c r="F73" s="107">
        <f>F71+F72</f>
        <v>101070.7</v>
      </c>
      <c r="G73" s="20">
        <f>G71+G72</f>
        <v>101070.7</v>
      </c>
    </row>
    <row r="74" spans="1:7" x14ac:dyDescent="0.25">
      <c r="A74" s="15">
        <v>3</v>
      </c>
      <c r="B74" s="254" t="s">
        <v>187</v>
      </c>
      <c r="C74" s="254"/>
      <c r="D74" s="254"/>
      <c r="E74" s="254"/>
      <c r="F74" s="254"/>
      <c r="G74" s="254"/>
    </row>
    <row r="75" spans="1:7" x14ac:dyDescent="0.25">
      <c r="A75" s="118" t="s">
        <v>4</v>
      </c>
      <c r="B75" s="33" t="s">
        <v>74</v>
      </c>
      <c r="C75" s="119" t="s">
        <v>74</v>
      </c>
      <c r="D75" s="118"/>
      <c r="E75" s="28">
        <v>0</v>
      </c>
      <c r="F75" s="28">
        <v>225600.11</v>
      </c>
      <c r="G75" s="30">
        <f t="shared" ref="G75:G76" si="9">SUM(E75:F75)</f>
        <v>225600.11</v>
      </c>
    </row>
    <row r="76" spans="1:7" x14ac:dyDescent="0.25">
      <c r="A76" s="118" t="s">
        <v>5</v>
      </c>
      <c r="B76" s="33" t="s">
        <v>163</v>
      </c>
      <c r="C76" s="119" t="s">
        <v>164</v>
      </c>
      <c r="D76" s="118"/>
      <c r="E76" s="28">
        <v>0</v>
      </c>
      <c r="F76" s="28">
        <v>86520</v>
      </c>
      <c r="G76" s="30">
        <f t="shared" si="9"/>
        <v>86520</v>
      </c>
    </row>
    <row r="77" spans="1:7" x14ac:dyDescent="0.25">
      <c r="A77" s="253" t="s">
        <v>22</v>
      </c>
      <c r="B77" s="253"/>
      <c r="C77" s="253"/>
      <c r="D77" s="16"/>
      <c r="E77" s="106">
        <f>SUM(E75:E76)</f>
        <v>0</v>
      </c>
      <c r="F77" s="106">
        <f>F75+F76</f>
        <v>312120.11</v>
      </c>
      <c r="G77" s="18">
        <f>E77+F77</f>
        <v>312120.11</v>
      </c>
    </row>
    <row r="78" spans="1:7" x14ac:dyDescent="0.25">
      <c r="A78" s="15">
        <v>4</v>
      </c>
      <c r="B78" s="254" t="s">
        <v>192</v>
      </c>
      <c r="C78" s="254"/>
      <c r="D78" s="254"/>
      <c r="E78" s="254"/>
      <c r="F78" s="254"/>
      <c r="G78" s="254"/>
    </row>
    <row r="79" spans="1:7" x14ac:dyDescent="0.25">
      <c r="A79" s="253" t="s">
        <v>22</v>
      </c>
      <c r="B79" s="253"/>
      <c r="C79" s="253"/>
      <c r="D79" s="16"/>
      <c r="E79" s="106">
        <v>0</v>
      </c>
      <c r="F79" s="106">
        <v>0</v>
      </c>
      <c r="G79" s="18">
        <v>0</v>
      </c>
    </row>
    <row r="80" spans="1:7" x14ac:dyDescent="0.25">
      <c r="A80" s="15">
        <v>5</v>
      </c>
      <c r="B80" s="267" t="s">
        <v>193</v>
      </c>
      <c r="C80" s="268"/>
      <c r="D80" s="268"/>
      <c r="E80" s="268"/>
      <c r="F80" s="268"/>
      <c r="G80" s="269"/>
    </row>
    <row r="81" spans="1:7" x14ac:dyDescent="0.25">
      <c r="A81" s="118" t="s">
        <v>32</v>
      </c>
      <c r="B81" s="33" t="s">
        <v>3</v>
      </c>
      <c r="C81" s="119" t="s">
        <v>19</v>
      </c>
      <c r="D81" s="118"/>
      <c r="E81" s="28">
        <v>0</v>
      </c>
      <c r="F81" s="28">
        <v>26783.599999999999</v>
      </c>
      <c r="G81" s="28">
        <f>SUM(E81:F81)</f>
        <v>26783.599999999999</v>
      </c>
    </row>
    <row r="82" spans="1:7" x14ac:dyDescent="0.25">
      <c r="A82" s="253" t="s">
        <v>22</v>
      </c>
      <c r="B82" s="253"/>
      <c r="C82" s="253"/>
      <c r="D82" s="16"/>
      <c r="E82" s="106">
        <f>E81</f>
        <v>0</v>
      </c>
      <c r="F82" s="106">
        <f>F81</f>
        <v>26783.599999999999</v>
      </c>
      <c r="G82" s="18">
        <f>G81</f>
        <v>26783.599999999999</v>
      </c>
    </row>
    <row r="83" spans="1:7" x14ac:dyDescent="0.25">
      <c r="A83" s="255" t="s">
        <v>1</v>
      </c>
      <c r="B83" s="255"/>
      <c r="C83" s="255"/>
      <c r="D83" s="255"/>
      <c r="E83" s="39">
        <f>E69+E73+E77+E82</f>
        <v>0</v>
      </c>
      <c r="F83" s="39">
        <f>F77+F82+F69+F73</f>
        <v>439974.41</v>
      </c>
      <c r="G83" s="39">
        <f>E83+F83</f>
        <v>439974.41</v>
      </c>
    </row>
    <row r="84" spans="1:7" x14ac:dyDescent="0.25">
      <c r="A84" s="266" t="s">
        <v>33</v>
      </c>
      <c r="B84" s="266"/>
      <c r="C84" s="266"/>
      <c r="D84" s="266"/>
      <c r="E84" s="266"/>
      <c r="F84" s="266"/>
      <c r="G84" s="266"/>
    </row>
    <row r="85" spans="1:7" x14ac:dyDescent="0.25">
      <c r="A85" s="12"/>
      <c r="B85" s="12"/>
      <c r="C85" s="11"/>
      <c r="D85" s="12"/>
      <c r="E85" s="108"/>
      <c r="F85" s="108"/>
      <c r="G85" s="108"/>
    </row>
    <row r="86" spans="1:7" x14ac:dyDescent="0.25">
      <c r="A86" s="258" t="s">
        <v>204</v>
      </c>
      <c r="B86" s="258"/>
      <c r="C86" s="258"/>
      <c r="D86" s="258"/>
      <c r="E86" s="258"/>
      <c r="F86" s="258"/>
      <c r="G86" s="258"/>
    </row>
    <row r="87" spans="1:7" ht="38.25" x14ac:dyDescent="0.25">
      <c r="A87" s="13" t="s">
        <v>27</v>
      </c>
      <c r="B87" s="13" t="s">
        <v>28</v>
      </c>
      <c r="C87" s="13" t="s">
        <v>29</v>
      </c>
      <c r="D87" s="13" t="s">
        <v>2</v>
      </c>
      <c r="E87" s="14" t="s">
        <v>213</v>
      </c>
      <c r="F87" s="14" t="s">
        <v>214</v>
      </c>
      <c r="G87" s="14" t="s">
        <v>215</v>
      </c>
    </row>
    <row r="88" spans="1:7" x14ac:dyDescent="0.25">
      <c r="A88" s="15">
        <v>1</v>
      </c>
      <c r="B88" s="254" t="s">
        <v>190</v>
      </c>
      <c r="C88" s="254"/>
      <c r="D88" s="254"/>
      <c r="E88" s="254"/>
      <c r="F88" s="254"/>
      <c r="G88" s="254"/>
    </row>
    <row r="89" spans="1:7" x14ac:dyDescent="0.25">
      <c r="A89" s="253" t="s">
        <v>22</v>
      </c>
      <c r="B89" s="253"/>
      <c r="C89" s="253"/>
      <c r="D89" s="16"/>
      <c r="E89" s="106">
        <v>0</v>
      </c>
      <c r="F89" s="106">
        <v>0</v>
      </c>
      <c r="G89" s="106">
        <f>E89+F89</f>
        <v>0</v>
      </c>
    </row>
    <row r="90" spans="1:7" x14ac:dyDescent="0.25">
      <c r="A90" s="15">
        <v>2</v>
      </c>
      <c r="B90" s="254" t="s">
        <v>191</v>
      </c>
      <c r="C90" s="254"/>
      <c r="D90" s="254"/>
      <c r="E90" s="254"/>
      <c r="F90" s="254"/>
      <c r="G90" s="254"/>
    </row>
    <row r="91" spans="1:7" x14ac:dyDescent="0.25">
      <c r="A91" s="81" t="s">
        <v>22</v>
      </c>
      <c r="B91" s="82"/>
      <c r="C91" s="83"/>
      <c r="D91" s="16"/>
      <c r="E91" s="107">
        <f>0</f>
        <v>0</v>
      </c>
      <c r="F91" s="107">
        <f>0</f>
        <v>0</v>
      </c>
      <c r="G91" s="20">
        <f>G90</f>
        <v>0</v>
      </c>
    </row>
    <row r="92" spans="1:7" x14ac:dyDescent="0.25">
      <c r="A92" s="15">
        <v>3</v>
      </c>
      <c r="B92" s="254" t="s">
        <v>187</v>
      </c>
      <c r="C92" s="254"/>
      <c r="D92" s="254"/>
      <c r="E92" s="254"/>
      <c r="F92" s="254"/>
      <c r="G92" s="254"/>
    </row>
    <row r="93" spans="1:7" x14ac:dyDescent="0.25">
      <c r="A93" s="118" t="s">
        <v>4</v>
      </c>
      <c r="B93" s="33" t="s">
        <v>74</v>
      </c>
      <c r="C93" s="119" t="s">
        <v>74</v>
      </c>
      <c r="D93" s="118"/>
      <c r="E93" s="28">
        <v>0</v>
      </c>
      <c r="F93" s="28">
        <v>231425.95</v>
      </c>
      <c r="G93" s="30">
        <f t="shared" ref="G93:G94" si="10">SUM(E93:F93)</f>
        <v>231425.95</v>
      </c>
    </row>
    <row r="94" spans="1:7" s="1" customFormat="1" x14ac:dyDescent="0.25">
      <c r="A94" s="118" t="s">
        <v>5</v>
      </c>
      <c r="B94" s="33" t="s">
        <v>163</v>
      </c>
      <c r="C94" s="119" t="s">
        <v>164</v>
      </c>
      <c r="D94" s="118"/>
      <c r="E94" s="28">
        <v>0</v>
      </c>
      <c r="F94" s="28">
        <v>91560</v>
      </c>
      <c r="G94" s="30">
        <f t="shared" si="10"/>
        <v>91560</v>
      </c>
    </row>
    <row r="95" spans="1:7" x14ac:dyDescent="0.25">
      <c r="A95" s="118" t="s">
        <v>6</v>
      </c>
      <c r="B95" s="33" t="s">
        <v>13</v>
      </c>
      <c r="C95" s="119" t="s">
        <v>189</v>
      </c>
      <c r="D95" s="118"/>
      <c r="E95" s="28">
        <v>0</v>
      </c>
      <c r="F95" s="28">
        <v>23263.5</v>
      </c>
      <c r="G95" s="30">
        <f>SUM(E95:F95)</f>
        <v>23263.5</v>
      </c>
    </row>
    <row r="96" spans="1:7" x14ac:dyDescent="0.25">
      <c r="A96" s="253" t="s">
        <v>22</v>
      </c>
      <c r="B96" s="253"/>
      <c r="C96" s="253"/>
      <c r="D96" s="16"/>
      <c r="E96" s="106">
        <f>SUM(E93:E93)</f>
        <v>0</v>
      </c>
      <c r="F96" s="106">
        <f>F93+F95</f>
        <v>254689.45</v>
      </c>
      <c r="G96" s="18">
        <f>G93+G95</f>
        <v>254689.45</v>
      </c>
    </row>
    <row r="97" spans="1:7" x14ac:dyDescent="0.25">
      <c r="A97" s="15">
        <v>4</v>
      </c>
      <c r="B97" s="254" t="s">
        <v>192</v>
      </c>
      <c r="C97" s="254"/>
      <c r="D97" s="254"/>
      <c r="E97" s="254"/>
      <c r="F97" s="254"/>
      <c r="G97" s="254"/>
    </row>
    <row r="98" spans="1:7" x14ac:dyDescent="0.25">
      <c r="A98" s="253" t="s">
        <v>22</v>
      </c>
      <c r="B98" s="253"/>
      <c r="C98" s="253"/>
      <c r="D98" s="16"/>
      <c r="E98" s="106">
        <v>0</v>
      </c>
      <c r="F98" s="106">
        <v>0</v>
      </c>
      <c r="G98" s="18">
        <v>0</v>
      </c>
    </row>
    <row r="99" spans="1:7" x14ac:dyDescent="0.25">
      <c r="A99" s="15">
        <v>5</v>
      </c>
      <c r="B99" s="267" t="s">
        <v>193</v>
      </c>
      <c r="C99" s="268"/>
      <c r="D99" s="268"/>
      <c r="E99" s="268"/>
      <c r="F99" s="268"/>
      <c r="G99" s="269"/>
    </row>
    <row r="100" spans="1:7" x14ac:dyDescent="0.25">
      <c r="A100" s="118" t="s">
        <v>32</v>
      </c>
      <c r="B100" s="33" t="s">
        <v>3</v>
      </c>
      <c r="C100" s="119" t="s">
        <v>19</v>
      </c>
      <c r="D100" s="118"/>
      <c r="E100" s="28">
        <v>0</v>
      </c>
      <c r="F100" s="28">
        <v>28827.040000000001</v>
      </c>
      <c r="G100" s="28">
        <f>SUM(E100:F100)</f>
        <v>28827.040000000001</v>
      </c>
    </row>
    <row r="101" spans="1:7" x14ac:dyDescent="0.25">
      <c r="A101" s="253" t="s">
        <v>22</v>
      </c>
      <c r="B101" s="253"/>
      <c r="C101" s="253"/>
      <c r="D101" s="16"/>
      <c r="E101" s="106">
        <f>E100</f>
        <v>0</v>
      </c>
      <c r="F101" s="106">
        <f>F100</f>
        <v>28827.040000000001</v>
      </c>
      <c r="G101" s="18">
        <f>G100</f>
        <v>28827.040000000001</v>
      </c>
    </row>
    <row r="102" spans="1:7" x14ac:dyDescent="0.25">
      <c r="A102" s="255" t="s">
        <v>1</v>
      </c>
      <c r="B102" s="255"/>
      <c r="C102" s="255"/>
      <c r="D102" s="255"/>
      <c r="E102" s="39">
        <f>E89+E91+E96+E101</f>
        <v>0</v>
      </c>
      <c r="F102" s="39">
        <f>F96+F101+F89</f>
        <v>283516.49</v>
      </c>
      <c r="G102" s="39">
        <f>E102+F102</f>
        <v>283516.49</v>
      </c>
    </row>
    <row r="103" spans="1:7" x14ac:dyDescent="0.25">
      <c r="A103" s="266" t="s">
        <v>33</v>
      </c>
      <c r="B103" s="266"/>
      <c r="C103" s="266"/>
      <c r="D103" s="266"/>
      <c r="E103" s="266"/>
      <c r="F103" s="266"/>
      <c r="G103" s="266"/>
    </row>
    <row r="104" spans="1:7" x14ac:dyDescent="0.25">
      <c r="A104" s="12"/>
      <c r="B104" s="12"/>
      <c r="C104" s="11"/>
      <c r="D104" s="12"/>
      <c r="E104" s="108"/>
      <c r="F104" s="108"/>
      <c r="G104" s="108"/>
    </row>
    <row r="105" spans="1:7" x14ac:dyDescent="0.25">
      <c r="A105" s="258" t="s">
        <v>205</v>
      </c>
      <c r="B105" s="258"/>
      <c r="C105" s="258"/>
      <c r="D105" s="258"/>
      <c r="E105" s="258"/>
      <c r="F105" s="258"/>
      <c r="G105" s="258"/>
    </row>
    <row r="106" spans="1:7" ht="38.25" x14ac:dyDescent="0.25">
      <c r="A106" s="13" t="s">
        <v>27</v>
      </c>
      <c r="B106" s="13" t="s">
        <v>28</v>
      </c>
      <c r="C106" s="13" t="s">
        <v>29</v>
      </c>
      <c r="D106" s="13" t="s">
        <v>2</v>
      </c>
      <c r="E106" s="14" t="s">
        <v>213</v>
      </c>
      <c r="F106" s="14" t="s">
        <v>214</v>
      </c>
      <c r="G106" s="14" t="s">
        <v>215</v>
      </c>
    </row>
    <row r="107" spans="1:7" x14ac:dyDescent="0.25">
      <c r="A107" s="15">
        <v>1</v>
      </c>
      <c r="B107" s="254" t="s">
        <v>190</v>
      </c>
      <c r="C107" s="254"/>
      <c r="D107" s="254"/>
      <c r="E107" s="254"/>
      <c r="F107" s="254"/>
      <c r="G107" s="254"/>
    </row>
    <row r="108" spans="1:7" x14ac:dyDescent="0.25">
      <c r="A108" s="253" t="s">
        <v>22</v>
      </c>
      <c r="B108" s="253"/>
      <c r="C108" s="253"/>
      <c r="D108" s="16"/>
      <c r="E108" s="106">
        <v>0</v>
      </c>
      <c r="F108" s="106">
        <v>0</v>
      </c>
      <c r="G108" s="106">
        <f>E108+F108</f>
        <v>0</v>
      </c>
    </row>
    <row r="109" spans="1:7" x14ac:dyDescent="0.25">
      <c r="A109" s="15">
        <v>2</v>
      </c>
      <c r="B109" s="254" t="s">
        <v>191</v>
      </c>
      <c r="C109" s="254"/>
      <c r="D109" s="254"/>
      <c r="E109" s="254"/>
      <c r="F109" s="254"/>
      <c r="G109" s="254"/>
    </row>
    <row r="110" spans="1:7" x14ac:dyDescent="0.25">
      <c r="A110" s="81" t="s">
        <v>22</v>
      </c>
      <c r="B110" s="82"/>
      <c r="C110" s="83"/>
      <c r="D110" s="16"/>
      <c r="E110" s="107">
        <f>0</f>
        <v>0</v>
      </c>
      <c r="F110" s="107">
        <f>0</f>
        <v>0</v>
      </c>
      <c r="G110" s="20">
        <f>G109</f>
        <v>0</v>
      </c>
    </row>
    <row r="111" spans="1:7" x14ac:dyDescent="0.25">
      <c r="A111" s="15">
        <v>3</v>
      </c>
      <c r="B111" s="254" t="s">
        <v>187</v>
      </c>
      <c r="C111" s="254"/>
      <c r="D111" s="254"/>
      <c r="E111" s="254"/>
      <c r="F111" s="254"/>
      <c r="G111" s="254"/>
    </row>
    <row r="112" spans="1:7" x14ac:dyDescent="0.25">
      <c r="A112" s="118" t="s">
        <v>4</v>
      </c>
      <c r="B112" s="33" t="s">
        <v>74</v>
      </c>
      <c r="C112" s="119" t="s">
        <v>74</v>
      </c>
      <c r="D112" s="118"/>
      <c r="E112" s="28">
        <v>0</v>
      </c>
      <c r="F112" s="28">
        <v>246303.26</v>
      </c>
      <c r="G112" s="30">
        <f t="shared" ref="G112:G113" si="11">SUM(E112:F112)</f>
        <v>246303.26</v>
      </c>
    </row>
    <row r="113" spans="1:7" x14ac:dyDescent="0.25">
      <c r="A113" s="118" t="s">
        <v>5</v>
      </c>
      <c r="B113" s="33" t="s">
        <v>163</v>
      </c>
      <c r="C113" s="119" t="s">
        <v>164</v>
      </c>
      <c r="D113" s="118"/>
      <c r="E113" s="28">
        <v>0</v>
      </c>
      <c r="F113" s="28">
        <v>93240</v>
      </c>
      <c r="G113" s="30">
        <f t="shared" si="11"/>
        <v>93240</v>
      </c>
    </row>
    <row r="114" spans="1:7" x14ac:dyDescent="0.25">
      <c r="A114" s="118" t="s">
        <v>6</v>
      </c>
      <c r="B114" s="33" t="s">
        <v>13</v>
      </c>
      <c r="C114" s="119" t="s">
        <v>189</v>
      </c>
      <c r="D114" s="118"/>
      <c r="E114" s="28">
        <v>0</v>
      </c>
      <c r="F114" s="28">
        <v>13305</v>
      </c>
      <c r="G114" s="30">
        <f>SUM(E114:F114)</f>
        <v>13305</v>
      </c>
    </row>
    <row r="115" spans="1:7" x14ac:dyDescent="0.25">
      <c r="A115" s="253" t="s">
        <v>22</v>
      </c>
      <c r="B115" s="253"/>
      <c r="C115" s="253"/>
      <c r="D115" s="16"/>
      <c r="E115" s="106">
        <f>E112+E113+E114</f>
        <v>0</v>
      </c>
      <c r="F115" s="106">
        <f>F112+F113+F114</f>
        <v>352848.26</v>
      </c>
      <c r="G115" s="106">
        <f t="shared" ref="G115" si="12">G112+G113+G114</f>
        <v>352848.26</v>
      </c>
    </row>
    <row r="116" spans="1:7" x14ac:dyDescent="0.25">
      <c r="A116" s="15">
        <v>4</v>
      </c>
      <c r="B116" s="254" t="s">
        <v>192</v>
      </c>
      <c r="C116" s="254"/>
      <c r="D116" s="254"/>
      <c r="E116" s="254"/>
      <c r="F116" s="254"/>
      <c r="G116" s="254"/>
    </row>
    <row r="117" spans="1:7" x14ac:dyDescent="0.25">
      <c r="A117" s="253" t="s">
        <v>22</v>
      </c>
      <c r="B117" s="253"/>
      <c r="C117" s="253"/>
      <c r="D117" s="16"/>
      <c r="E117" s="106">
        <v>0</v>
      </c>
      <c r="F117" s="106">
        <v>0</v>
      </c>
      <c r="G117" s="18">
        <v>0</v>
      </c>
    </row>
    <row r="118" spans="1:7" x14ac:dyDescent="0.25">
      <c r="A118" s="15">
        <v>5</v>
      </c>
      <c r="B118" s="267" t="s">
        <v>193</v>
      </c>
      <c r="C118" s="268"/>
      <c r="D118" s="268"/>
      <c r="E118" s="268"/>
      <c r="F118" s="268"/>
      <c r="G118" s="269"/>
    </row>
    <row r="119" spans="1:7" x14ac:dyDescent="0.25">
      <c r="A119" s="118" t="s">
        <v>32</v>
      </c>
      <c r="B119" s="33" t="s">
        <v>3</v>
      </c>
      <c r="C119" s="119" t="s">
        <v>19</v>
      </c>
      <c r="D119" s="118"/>
      <c r="E119" s="28">
        <v>0</v>
      </c>
      <c r="F119" s="28">
        <v>41038.36</v>
      </c>
      <c r="G119" s="28">
        <f>SUM(E119:F119)</f>
        <v>41038.36</v>
      </c>
    </row>
    <row r="120" spans="1:7" x14ac:dyDescent="0.25">
      <c r="A120" s="253" t="s">
        <v>22</v>
      </c>
      <c r="B120" s="253"/>
      <c r="C120" s="253"/>
      <c r="D120" s="16"/>
      <c r="E120" s="106">
        <f>E119</f>
        <v>0</v>
      </c>
      <c r="F120" s="106">
        <f>F119</f>
        <v>41038.36</v>
      </c>
      <c r="G120" s="18">
        <f>G119</f>
        <v>41038.36</v>
      </c>
    </row>
    <row r="121" spans="1:7" x14ac:dyDescent="0.25">
      <c r="A121" s="255" t="s">
        <v>1</v>
      </c>
      <c r="B121" s="255"/>
      <c r="C121" s="255"/>
      <c r="D121" s="255"/>
      <c r="E121" s="39">
        <f>E108+E110+E115+E120</f>
        <v>0</v>
      </c>
      <c r="F121" s="39">
        <f>F115+F120+F108</f>
        <v>393886.62</v>
      </c>
      <c r="G121" s="39">
        <f>E121+F121</f>
        <v>393886.62</v>
      </c>
    </row>
    <row r="122" spans="1:7" x14ac:dyDescent="0.25">
      <c r="A122" s="266" t="s">
        <v>33</v>
      </c>
      <c r="B122" s="266"/>
      <c r="C122" s="266"/>
      <c r="D122" s="266"/>
      <c r="E122" s="266"/>
      <c r="F122" s="266"/>
      <c r="G122" s="266"/>
    </row>
    <row r="123" spans="1:7" x14ac:dyDescent="0.25">
      <c r="A123" s="12"/>
      <c r="B123" s="12"/>
      <c r="C123" s="11"/>
      <c r="D123" s="12"/>
      <c r="E123" s="108"/>
      <c r="F123" s="108"/>
      <c r="G123" s="108"/>
    </row>
    <row r="124" spans="1:7" x14ac:dyDescent="0.25">
      <c r="A124" s="258" t="s">
        <v>206</v>
      </c>
      <c r="B124" s="258"/>
      <c r="C124" s="258"/>
      <c r="D124" s="258"/>
      <c r="E124" s="258"/>
      <c r="F124" s="258"/>
      <c r="G124" s="258"/>
    </row>
    <row r="125" spans="1:7" ht="38.25" x14ac:dyDescent="0.25">
      <c r="A125" s="13" t="s">
        <v>27</v>
      </c>
      <c r="B125" s="13" t="s">
        <v>28</v>
      </c>
      <c r="C125" s="13" t="s">
        <v>29</v>
      </c>
      <c r="D125" s="13" t="s">
        <v>2</v>
      </c>
      <c r="E125" s="14" t="s">
        <v>213</v>
      </c>
      <c r="F125" s="14" t="s">
        <v>214</v>
      </c>
      <c r="G125" s="14" t="s">
        <v>215</v>
      </c>
    </row>
    <row r="126" spans="1:7" x14ac:dyDescent="0.25">
      <c r="A126" s="15">
        <v>1</v>
      </c>
      <c r="B126" s="254" t="s">
        <v>190</v>
      </c>
      <c r="C126" s="254"/>
      <c r="D126" s="254"/>
      <c r="E126" s="254"/>
      <c r="F126" s="254"/>
      <c r="G126" s="254"/>
    </row>
    <row r="127" spans="1:7" x14ac:dyDescent="0.25">
      <c r="A127" s="253" t="s">
        <v>22</v>
      </c>
      <c r="B127" s="253"/>
      <c r="C127" s="253"/>
      <c r="D127" s="16"/>
      <c r="E127" s="106">
        <v>0</v>
      </c>
      <c r="F127" s="106">
        <v>0</v>
      </c>
      <c r="G127" s="106">
        <f>E127+F127</f>
        <v>0</v>
      </c>
    </row>
    <row r="128" spans="1:7" x14ac:dyDescent="0.25">
      <c r="A128" s="15">
        <v>2</v>
      </c>
      <c r="B128" s="254" t="s">
        <v>191</v>
      </c>
      <c r="C128" s="254"/>
      <c r="D128" s="254"/>
      <c r="E128" s="254"/>
      <c r="F128" s="254"/>
      <c r="G128" s="254"/>
    </row>
    <row r="129" spans="1:7" x14ac:dyDescent="0.25">
      <c r="A129" s="81" t="s">
        <v>22</v>
      </c>
      <c r="B129" s="82"/>
      <c r="C129" s="83"/>
      <c r="D129" s="16"/>
      <c r="E129" s="107">
        <f>0</f>
        <v>0</v>
      </c>
      <c r="F129" s="107">
        <f>0</f>
        <v>0</v>
      </c>
      <c r="G129" s="20">
        <f>G128</f>
        <v>0</v>
      </c>
    </row>
    <row r="130" spans="1:7" x14ac:dyDescent="0.25">
      <c r="A130" s="15">
        <v>3</v>
      </c>
      <c r="B130" s="254" t="s">
        <v>187</v>
      </c>
      <c r="C130" s="254"/>
      <c r="D130" s="254"/>
      <c r="E130" s="254"/>
      <c r="F130" s="254"/>
      <c r="G130" s="254"/>
    </row>
    <row r="131" spans="1:7" x14ac:dyDescent="0.25">
      <c r="A131" s="118" t="s">
        <v>4</v>
      </c>
      <c r="B131" s="33" t="s">
        <v>74</v>
      </c>
      <c r="C131" s="119" t="s">
        <v>74</v>
      </c>
      <c r="D131" s="118"/>
      <c r="E131" s="28">
        <v>0</v>
      </c>
      <c r="F131" s="28">
        <v>250599.46</v>
      </c>
      <c r="G131" s="30">
        <f t="shared" ref="G131:G132" si="13">SUM(E131:F131)</f>
        <v>250599.46</v>
      </c>
    </row>
    <row r="132" spans="1:7" x14ac:dyDescent="0.25">
      <c r="A132" s="118" t="s">
        <v>5</v>
      </c>
      <c r="B132" s="33" t="s">
        <v>163</v>
      </c>
      <c r="C132" s="119" t="s">
        <v>164</v>
      </c>
      <c r="D132" s="118"/>
      <c r="E132" s="28">
        <v>0</v>
      </c>
      <c r="F132" s="28">
        <v>94080</v>
      </c>
      <c r="G132" s="30">
        <f t="shared" si="13"/>
        <v>94080</v>
      </c>
    </row>
    <row r="133" spans="1:7" x14ac:dyDescent="0.25">
      <c r="A133" s="118" t="s">
        <v>6</v>
      </c>
      <c r="B133" s="33" t="s">
        <v>13</v>
      </c>
      <c r="C133" s="119" t="s">
        <v>189</v>
      </c>
      <c r="D133" s="118"/>
      <c r="E133" s="28">
        <v>0</v>
      </c>
      <c r="F133" s="28">
        <v>17901</v>
      </c>
      <c r="G133" s="30">
        <f>SUM(E133:F133)</f>
        <v>17901</v>
      </c>
    </row>
    <row r="134" spans="1:7" x14ac:dyDescent="0.25">
      <c r="A134" s="253" t="s">
        <v>22</v>
      </c>
      <c r="B134" s="253"/>
      <c r="C134" s="253"/>
      <c r="D134" s="16"/>
      <c r="E134" s="106">
        <f>SUM(E131:E132)</f>
        <v>0</v>
      </c>
      <c r="F134" s="106">
        <f>F131+F132+F133</f>
        <v>362580.45999999996</v>
      </c>
      <c r="G134" s="18">
        <f>G131+G132+G133</f>
        <v>362580.45999999996</v>
      </c>
    </row>
    <row r="135" spans="1:7" x14ac:dyDescent="0.25">
      <c r="A135" s="15">
        <v>4</v>
      </c>
      <c r="B135" s="254" t="s">
        <v>192</v>
      </c>
      <c r="C135" s="254"/>
      <c r="D135" s="254"/>
      <c r="E135" s="254"/>
      <c r="F135" s="254"/>
      <c r="G135" s="254"/>
    </row>
    <row r="136" spans="1:7" x14ac:dyDescent="0.25">
      <c r="A136" s="253" t="s">
        <v>22</v>
      </c>
      <c r="B136" s="253"/>
      <c r="C136" s="253"/>
      <c r="D136" s="16"/>
      <c r="E136" s="106">
        <v>0</v>
      </c>
      <c r="F136" s="106">
        <v>0</v>
      </c>
      <c r="G136" s="18">
        <v>0</v>
      </c>
    </row>
    <row r="137" spans="1:7" x14ac:dyDescent="0.25">
      <c r="A137" s="15">
        <v>5</v>
      </c>
      <c r="B137" s="267" t="s">
        <v>193</v>
      </c>
      <c r="C137" s="268"/>
      <c r="D137" s="268"/>
      <c r="E137" s="268"/>
      <c r="F137" s="268"/>
      <c r="G137" s="269"/>
    </row>
    <row r="138" spans="1:7" x14ac:dyDescent="0.25">
      <c r="A138" s="118" t="s">
        <v>32</v>
      </c>
      <c r="B138" s="33" t="s">
        <v>3</v>
      </c>
      <c r="C138" s="119" t="s">
        <v>19</v>
      </c>
      <c r="D138" s="118"/>
      <c r="E138" s="28">
        <v>0</v>
      </c>
      <c r="F138" s="28">
        <v>46984.95</v>
      </c>
      <c r="G138" s="28">
        <f>SUM(E138:F138)</f>
        <v>46984.95</v>
      </c>
    </row>
    <row r="139" spans="1:7" x14ac:dyDescent="0.25">
      <c r="A139" s="253" t="s">
        <v>22</v>
      </c>
      <c r="B139" s="253"/>
      <c r="C139" s="253"/>
      <c r="D139" s="16"/>
      <c r="E139" s="106">
        <f>E138</f>
        <v>0</v>
      </c>
      <c r="F139" s="106">
        <f>F138</f>
        <v>46984.95</v>
      </c>
      <c r="G139" s="18">
        <f>G138</f>
        <v>46984.95</v>
      </c>
    </row>
    <row r="140" spans="1:7" x14ac:dyDescent="0.25">
      <c r="A140" s="255" t="s">
        <v>1</v>
      </c>
      <c r="B140" s="255"/>
      <c r="C140" s="255"/>
      <c r="D140" s="255"/>
      <c r="E140" s="39">
        <f>E127+E129+E134+E139</f>
        <v>0</v>
      </c>
      <c r="F140" s="39">
        <f>F134+F139+F127</f>
        <v>409565.41</v>
      </c>
      <c r="G140" s="39">
        <f>E140+F140</f>
        <v>409565.41</v>
      </c>
    </row>
    <row r="141" spans="1:7" x14ac:dyDescent="0.25">
      <c r="A141" s="266" t="s">
        <v>33</v>
      </c>
      <c r="B141" s="266"/>
      <c r="C141" s="266"/>
      <c r="D141" s="266"/>
      <c r="E141" s="266"/>
      <c r="F141" s="266"/>
      <c r="G141" s="266"/>
    </row>
    <row r="142" spans="1:7" x14ac:dyDescent="0.25">
      <c r="A142" s="12"/>
      <c r="B142" s="12"/>
      <c r="C142" s="11"/>
      <c r="D142" s="12"/>
      <c r="E142" s="108"/>
      <c r="F142" s="108"/>
      <c r="G142" s="108"/>
    </row>
    <row r="143" spans="1:7" x14ac:dyDescent="0.25">
      <c r="A143" s="258" t="s">
        <v>207</v>
      </c>
      <c r="B143" s="258"/>
      <c r="C143" s="258"/>
      <c r="D143" s="258"/>
      <c r="E143" s="258"/>
      <c r="F143" s="258"/>
      <c r="G143" s="258"/>
    </row>
    <row r="144" spans="1:7" ht="38.25" x14ac:dyDescent="0.25">
      <c r="A144" s="13" t="s">
        <v>27</v>
      </c>
      <c r="B144" s="13" t="s">
        <v>28</v>
      </c>
      <c r="C144" s="13" t="s">
        <v>29</v>
      </c>
      <c r="D144" s="13" t="s">
        <v>2</v>
      </c>
      <c r="E144" s="14" t="s">
        <v>213</v>
      </c>
      <c r="F144" s="14" t="s">
        <v>214</v>
      </c>
      <c r="G144" s="14" t="s">
        <v>215</v>
      </c>
    </row>
    <row r="145" spans="1:7" x14ac:dyDescent="0.25">
      <c r="A145" s="15">
        <v>1</v>
      </c>
      <c r="B145" s="254" t="s">
        <v>190</v>
      </c>
      <c r="C145" s="254"/>
      <c r="D145" s="254"/>
      <c r="E145" s="254"/>
      <c r="F145" s="254"/>
      <c r="G145" s="254"/>
    </row>
    <row r="146" spans="1:7" x14ac:dyDescent="0.25">
      <c r="A146" s="253" t="s">
        <v>22</v>
      </c>
      <c r="B146" s="253"/>
      <c r="C146" s="253"/>
      <c r="D146" s="16"/>
      <c r="E146" s="106">
        <v>0</v>
      </c>
      <c r="F146" s="106">
        <v>0</v>
      </c>
      <c r="G146" s="106">
        <f>E146+F146</f>
        <v>0</v>
      </c>
    </row>
    <row r="147" spans="1:7" x14ac:dyDescent="0.25">
      <c r="A147" s="15">
        <v>2</v>
      </c>
      <c r="B147" s="254" t="s">
        <v>191</v>
      </c>
      <c r="C147" s="254"/>
      <c r="D147" s="254"/>
      <c r="E147" s="254"/>
      <c r="F147" s="254"/>
      <c r="G147" s="254"/>
    </row>
    <row r="148" spans="1:7" x14ac:dyDescent="0.25">
      <c r="A148" s="81" t="s">
        <v>22</v>
      </c>
      <c r="B148" s="82"/>
      <c r="C148" s="83"/>
      <c r="D148" s="16"/>
      <c r="E148" s="107">
        <f>0</f>
        <v>0</v>
      </c>
      <c r="F148" s="107">
        <f>0</f>
        <v>0</v>
      </c>
      <c r="G148" s="20">
        <f>G147</f>
        <v>0</v>
      </c>
    </row>
    <row r="149" spans="1:7" x14ac:dyDescent="0.25">
      <c r="A149" s="15">
        <v>3</v>
      </c>
      <c r="B149" s="254" t="s">
        <v>187</v>
      </c>
      <c r="C149" s="254"/>
      <c r="D149" s="254"/>
      <c r="E149" s="254"/>
      <c r="F149" s="254"/>
      <c r="G149" s="254"/>
    </row>
    <row r="150" spans="1:7" x14ac:dyDescent="0.25">
      <c r="A150" s="118" t="s">
        <v>4</v>
      </c>
      <c r="B150" s="33" t="s">
        <v>74</v>
      </c>
      <c r="C150" s="119" t="s">
        <v>74</v>
      </c>
      <c r="D150" s="118"/>
      <c r="E150" s="28">
        <v>0</v>
      </c>
      <c r="F150" s="28">
        <v>239812.77</v>
      </c>
      <c r="G150" s="30">
        <f t="shared" ref="G150:G151" si="14">SUM(E150:F150)</f>
        <v>239812.77</v>
      </c>
    </row>
    <row r="151" spans="1:7" x14ac:dyDescent="0.25">
      <c r="A151" s="118" t="s">
        <v>5</v>
      </c>
      <c r="B151" s="33" t="s">
        <v>163</v>
      </c>
      <c r="C151" s="119" t="s">
        <v>164</v>
      </c>
      <c r="D151" s="118"/>
      <c r="E151" s="28">
        <v>0</v>
      </c>
      <c r="F151" s="28">
        <v>104160</v>
      </c>
      <c r="G151" s="30">
        <f t="shared" si="14"/>
        <v>104160</v>
      </c>
    </row>
    <row r="152" spans="1:7" x14ac:dyDescent="0.25">
      <c r="A152" s="253" t="s">
        <v>22</v>
      </c>
      <c r="B152" s="253"/>
      <c r="C152" s="253"/>
      <c r="D152" s="16"/>
      <c r="E152" s="106">
        <f>SUM(E150:E151)</f>
        <v>0</v>
      </c>
      <c r="F152" s="106">
        <f>SUM(F150:F151)</f>
        <v>343972.77</v>
      </c>
      <c r="G152" s="106">
        <f>SUM(G150:G151)</f>
        <v>343972.77</v>
      </c>
    </row>
    <row r="153" spans="1:7" x14ac:dyDescent="0.25">
      <c r="A153" s="15">
        <v>4</v>
      </c>
      <c r="B153" s="254" t="s">
        <v>192</v>
      </c>
      <c r="C153" s="254"/>
      <c r="D153" s="254"/>
      <c r="E153" s="254"/>
      <c r="F153" s="254"/>
      <c r="G153" s="254"/>
    </row>
    <row r="154" spans="1:7" x14ac:dyDescent="0.25">
      <c r="A154" s="253" t="s">
        <v>22</v>
      </c>
      <c r="B154" s="253"/>
      <c r="C154" s="253"/>
      <c r="D154" s="16"/>
      <c r="E154" s="106">
        <v>0</v>
      </c>
      <c r="F154" s="106">
        <v>0</v>
      </c>
      <c r="G154" s="18">
        <v>0</v>
      </c>
    </row>
    <row r="155" spans="1:7" x14ac:dyDescent="0.25">
      <c r="A155" s="15">
        <v>5</v>
      </c>
      <c r="B155" s="267" t="s">
        <v>193</v>
      </c>
      <c r="C155" s="268"/>
      <c r="D155" s="268"/>
      <c r="E155" s="268"/>
      <c r="F155" s="268"/>
      <c r="G155" s="269"/>
    </row>
    <row r="156" spans="1:7" x14ac:dyDescent="0.25">
      <c r="A156" s="118" t="s">
        <v>32</v>
      </c>
      <c r="B156" s="33" t="s">
        <v>3</v>
      </c>
      <c r="C156" s="119" t="s">
        <v>19</v>
      </c>
      <c r="D156" s="118"/>
      <c r="E156" s="28">
        <v>0</v>
      </c>
      <c r="F156" s="28">
        <v>58186.14</v>
      </c>
      <c r="G156" s="28">
        <f>SUM(E156:F156)</f>
        <v>58186.14</v>
      </c>
    </row>
    <row r="157" spans="1:7" x14ac:dyDescent="0.25">
      <c r="A157" s="253" t="s">
        <v>22</v>
      </c>
      <c r="B157" s="253"/>
      <c r="C157" s="253"/>
      <c r="D157" s="16"/>
      <c r="E157" s="106">
        <f>E156</f>
        <v>0</v>
      </c>
      <c r="F157" s="106">
        <f>F156</f>
        <v>58186.14</v>
      </c>
      <c r="G157" s="18">
        <f>G156</f>
        <v>58186.14</v>
      </c>
    </row>
    <row r="158" spans="1:7" x14ac:dyDescent="0.25">
      <c r="A158" s="255" t="s">
        <v>1</v>
      </c>
      <c r="B158" s="255"/>
      <c r="C158" s="255"/>
      <c r="D158" s="255"/>
      <c r="E158" s="39">
        <f>E146+E148+E152+E157</f>
        <v>0</v>
      </c>
      <c r="F158" s="39">
        <f>F152+F157+F146</f>
        <v>402158.91000000003</v>
      </c>
      <c r="G158" s="39">
        <f>E158+F158</f>
        <v>402158.91000000003</v>
      </c>
    </row>
    <row r="159" spans="1:7" x14ac:dyDescent="0.25">
      <c r="A159" s="266" t="s">
        <v>33</v>
      </c>
      <c r="B159" s="266"/>
      <c r="C159" s="266"/>
      <c r="D159" s="266"/>
      <c r="E159" s="266"/>
      <c r="F159" s="266"/>
      <c r="G159" s="266"/>
    </row>
    <row r="160" spans="1:7" x14ac:dyDescent="0.25">
      <c r="A160" s="12"/>
      <c r="B160" s="12"/>
      <c r="C160" s="11"/>
      <c r="D160" s="12"/>
      <c r="E160" s="108"/>
      <c r="F160" s="108"/>
      <c r="G160" s="108"/>
    </row>
    <row r="161" spans="1:7" x14ac:dyDescent="0.25">
      <c r="A161" s="258" t="s">
        <v>208</v>
      </c>
      <c r="B161" s="258"/>
      <c r="C161" s="258"/>
      <c r="D161" s="258"/>
      <c r="E161" s="258"/>
      <c r="F161" s="258"/>
      <c r="G161" s="258"/>
    </row>
    <row r="162" spans="1:7" ht="38.25" x14ac:dyDescent="0.25">
      <c r="A162" s="13" t="s">
        <v>27</v>
      </c>
      <c r="B162" s="13" t="s">
        <v>28</v>
      </c>
      <c r="C162" s="13" t="s">
        <v>29</v>
      </c>
      <c r="D162" s="13" t="s">
        <v>2</v>
      </c>
      <c r="E162" s="14" t="s">
        <v>213</v>
      </c>
      <c r="F162" s="14" t="s">
        <v>214</v>
      </c>
      <c r="G162" s="14" t="s">
        <v>215</v>
      </c>
    </row>
    <row r="163" spans="1:7" x14ac:dyDescent="0.25">
      <c r="A163" s="15">
        <v>1</v>
      </c>
      <c r="B163" s="254" t="s">
        <v>190</v>
      </c>
      <c r="C163" s="254"/>
      <c r="D163" s="254"/>
      <c r="E163" s="254"/>
      <c r="F163" s="254"/>
      <c r="G163" s="254"/>
    </row>
    <row r="164" spans="1:7" x14ac:dyDescent="0.25">
      <c r="A164" s="253" t="s">
        <v>22</v>
      </c>
      <c r="B164" s="253"/>
      <c r="C164" s="253"/>
      <c r="D164" s="16"/>
      <c r="E164" s="106">
        <v>0</v>
      </c>
      <c r="F164" s="106">
        <v>0</v>
      </c>
      <c r="G164" s="106">
        <f>E164+F164</f>
        <v>0</v>
      </c>
    </row>
    <row r="165" spans="1:7" x14ac:dyDescent="0.25">
      <c r="A165" s="15">
        <v>2</v>
      </c>
      <c r="B165" s="254" t="s">
        <v>191</v>
      </c>
      <c r="C165" s="254"/>
      <c r="D165" s="254"/>
      <c r="E165" s="254"/>
      <c r="F165" s="254"/>
      <c r="G165" s="254"/>
    </row>
    <row r="166" spans="1:7" s="1" customFormat="1" x14ac:dyDescent="0.25">
      <c r="A166" s="118" t="s">
        <v>218</v>
      </c>
      <c r="B166" s="33" t="s">
        <v>225</v>
      </c>
      <c r="C166" s="119" t="s">
        <v>224</v>
      </c>
      <c r="D166" s="118"/>
      <c r="E166" s="28">
        <v>0</v>
      </c>
      <c r="F166" s="28">
        <v>6817.98</v>
      </c>
      <c r="G166" s="30">
        <f>SUM(E166:F166)</f>
        <v>6817.98</v>
      </c>
    </row>
    <row r="167" spans="1:7" x14ac:dyDescent="0.25">
      <c r="A167" s="81" t="s">
        <v>22</v>
      </c>
      <c r="B167" s="82"/>
      <c r="C167" s="83"/>
      <c r="D167" s="16"/>
      <c r="E167" s="107">
        <f>E166</f>
        <v>0</v>
      </c>
      <c r="F167" s="107">
        <f>F166</f>
        <v>6817.98</v>
      </c>
      <c r="G167" s="107">
        <f>G166</f>
        <v>6817.98</v>
      </c>
    </row>
    <row r="168" spans="1:7" x14ac:dyDescent="0.25">
      <c r="A168" s="15">
        <v>3</v>
      </c>
      <c r="B168" s="254" t="s">
        <v>187</v>
      </c>
      <c r="C168" s="254"/>
      <c r="D168" s="254"/>
      <c r="E168" s="254"/>
      <c r="F168" s="254"/>
      <c r="G168" s="254"/>
    </row>
    <row r="169" spans="1:7" x14ac:dyDescent="0.25">
      <c r="A169" s="118" t="s">
        <v>4</v>
      </c>
      <c r="B169" s="33" t="s">
        <v>74</v>
      </c>
      <c r="C169" s="119" t="s">
        <v>74</v>
      </c>
      <c r="D169" s="118"/>
      <c r="E169" s="28">
        <v>0</v>
      </c>
      <c r="F169" s="28">
        <v>240958.54</v>
      </c>
      <c r="G169" s="30">
        <f>SUM(E169:F169)</f>
        <v>240958.54</v>
      </c>
    </row>
    <row r="170" spans="1:7" s="1" customFormat="1" x14ac:dyDescent="0.25">
      <c r="A170" s="118" t="s">
        <v>5</v>
      </c>
      <c r="B170" s="33" t="s">
        <v>163</v>
      </c>
      <c r="C170" s="119" t="s">
        <v>164</v>
      </c>
      <c r="D170" s="118"/>
      <c r="E170" s="28">
        <v>0</v>
      </c>
      <c r="F170" s="28">
        <v>78075</v>
      </c>
      <c r="G170" s="30">
        <f>SUM(E170:F170)</f>
        <v>78075</v>
      </c>
    </row>
    <row r="171" spans="1:7" x14ac:dyDescent="0.25">
      <c r="A171" s="253" t="s">
        <v>22</v>
      </c>
      <c r="B171" s="253"/>
      <c r="C171" s="253"/>
      <c r="D171" s="16"/>
      <c r="E171" s="106">
        <f>SUM(E169:E169)</f>
        <v>0</v>
      </c>
      <c r="F171" s="106">
        <f>SUM(F169:F169)</f>
        <v>240958.54</v>
      </c>
      <c r="G171" s="18">
        <f>SUM(G168:G169)</f>
        <v>240958.54</v>
      </c>
    </row>
    <row r="172" spans="1:7" x14ac:dyDescent="0.25">
      <c r="A172" s="15">
        <v>4</v>
      </c>
      <c r="B172" s="254" t="s">
        <v>192</v>
      </c>
      <c r="C172" s="254"/>
      <c r="D172" s="254"/>
      <c r="E172" s="254"/>
      <c r="F172" s="254"/>
      <c r="G172" s="254"/>
    </row>
    <row r="173" spans="1:7" x14ac:dyDescent="0.25">
      <c r="A173" s="253" t="s">
        <v>22</v>
      </c>
      <c r="B173" s="253"/>
      <c r="C173" s="253"/>
      <c r="D173" s="16"/>
      <c r="E173" s="106">
        <v>0</v>
      </c>
      <c r="F173" s="106">
        <v>0</v>
      </c>
      <c r="G173" s="18">
        <v>0</v>
      </c>
    </row>
    <row r="174" spans="1:7" x14ac:dyDescent="0.25">
      <c r="A174" s="15">
        <v>5</v>
      </c>
      <c r="B174" s="267" t="s">
        <v>193</v>
      </c>
      <c r="C174" s="268"/>
      <c r="D174" s="268"/>
      <c r="E174" s="268"/>
      <c r="F174" s="268"/>
      <c r="G174" s="269"/>
    </row>
    <row r="175" spans="1:7" x14ac:dyDescent="0.25">
      <c r="A175" s="118" t="s">
        <v>32</v>
      </c>
      <c r="B175" s="33" t="s">
        <v>3</v>
      </c>
      <c r="C175" s="119" t="s">
        <v>19</v>
      </c>
      <c r="D175" s="118"/>
      <c r="E175" s="28">
        <v>0</v>
      </c>
      <c r="F175" s="28">
        <v>64783.56</v>
      </c>
      <c r="G175" s="28">
        <f>SUM(E175:F175)</f>
        <v>64783.56</v>
      </c>
    </row>
    <row r="176" spans="1:7" x14ac:dyDescent="0.25">
      <c r="A176" s="253" t="s">
        <v>22</v>
      </c>
      <c r="B176" s="253"/>
      <c r="C176" s="253"/>
      <c r="D176" s="16"/>
      <c r="E176" s="106">
        <f>E175</f>
        <v>0</v>
      </c>
      <c r="F176" s="106">
        <f>F175</f>
        <v>64783.56</v>
      </c>
      <c r="G176" s="18">
        <f>G175</f>
        <v>64783.56</v>
      </c>
    </row>
    <row r="177" spans="1:7" x14ac:dyDescent="0.25">
      <c r="A177" s="255" t="s">
        <v>1</v>
      </c>
      <c r="B177" s="255"/>
      <c r="C177" s="255"/>
      <c r="D177" s="255"/>
      <c r="E177" s="39">
        <f>E164+E167+E171+E176</f>
        <v>0</v>
      </c>
      <c r="F177" s="39">
        <f>F171+F176+F164+F167</f>
        <v>312560.07999999996</v>
      </c>
      <c r="G177" s="39">
        <f>E177+F177</f>
        <v>312560.07999999996</v>
      </c>
    </row>
    <row r="178" spans="1:7" x14ac:dyDescent="0.25">
      <c r="A178" s="266" t="s">
        <v>33</v>
      </c>
      <c r="B178" s="266"/>
      <c r="C178" s="266"/>
      <c r="D178" s="266"/>
      <c r="E178" s="266"/>
      <c r="F178" s="266"/>
      <c r="G178" s="266"/>
    </row>
    <row r="179" spans="1:7" x14ac:dyDescent="0.25">
      <c r="A179" s="12"/>
      <c r="B179" s="12"/>
      <c r="C179" s="11"/>
      <c r="D179" s="12"/>
      <c r="E179" s="108"/>
      <c r="F179" s="108"/>
      <c r="G179" s="108"/>
    </row>
    <row r="180" spans="1:7" x14ac:dyDescent="0.25">
      <c r="A180" s="258" t="s">
        <v>209</v>
      </c>
      <c r="B180" s="258"/>
      <c r="C180" s="258"/>
      <c r="D180" s="258"/>
      <c r="E180" s="258"/>
      <c r="F180" s="258"/>
      <c r="G180" s="258"/>
    </row>
    <row r="181" spans="1:7" ht="38.25" x14ac:dyDescent="0.25">
      <c r="A181" s="13" t="s">
        <v>27</v>
      </c>
      <c r="B181" s="13" t="s">
        <v>28</v>
      </c>
      <c r="C181" s="13" t="s">
        <v>29</v>
      </c>
      <c r="D181" s="13" t="s">
        <v>2</v>
      </c>
      <c r="E181" s="14" t="s">
        <v>213</v>
      </c>
      <c r="F181" s="14" t="s">
        <v>214</v>
      </c>
      <c r="G181" s="14" t="s">
        <v>215</v>
      </c>
    </row>
    <row r="182" spans="1:7" x14ac:dyDescent="0.25">
      <c r="A182" s="15">
        <v>1</v>
      </c>
      <c r="B182" s="254" t="s">
        <v>190</v>
      </c>
      <c r="C182" s="254"/>
      <c r="D182" s="254"/>
      <c r="E182" s="254"/>
      <c r="F182" s="254"/>
      <c r="G182" s="254"/>
    </row>
    <row r="183" spans="1:7" x14ac:dyDescent="0.25">
      <c r="A183" s="253" t="s">
        <v>22</v>
      </c>
      <c r="B183" s="253"/>
      <c r="C183" s="253"/>
      <c r="D183" s="16"/>
      <c r="E183" s="106">
        <v>0</v>
      </c>
      <c r="F183" s="106">
        <v>0</v>
      </c>
      <c r="G183" s="106">
        <f>E183+F183</f>
        <v>0</v>
      </c>
    </row>
    <row r="184" spans="1:7" x14ac:dyDescent="0.25">
      <c r="A184" s="15">
        <v>2</v>
      </c>
      <c r="B184" s="254" t="s">
        <v>191</v>
      </c>
      <c r="C184" s="254"/>
      <c r="D184" s="254"/>
      <c r="E184" s="254"/>
      <c r="F184" s="254"/>
      <c r="G184" s="254"/>
    </row>
    <row r="185" spans="1:7" x14ac:dyDescent="0.25">
      <c r="A185" s="81" t="s">
        <v>22</v>
      </c>
      <c r="B185" s="82"/>
      <c r="C185" s="83"/>
      <c r="D185" s="16"/>
      <c r="E185" s="107">
        <f>0</f>
        <v>0</v>
      </c>
      <c r="F185" s="107">
        <f>0</f>
        <v>0</v>
      </c>
      <c r="G185" s="20">
        <f>G184</f>
        <v>0</v>
      </c>
    </row>
    <row r="186" spans="1:7" x14ac:dyDescent="0.25">
      <c r="A186" s="15">
        <v>3</v>
      </c>
      <c r="B186" s="254" t="s">
        <v>187</v>
      </c>
      <c r="C186" s="254"/>
      <c r="D186" s="254"/>
      <c r="E186" s="254"/>
      <c r="F186" s="254"/>
      <c r="G186" s="254"/>
    </row>
    <row r="187" spans="1:7" x14ac:dyDescent="0.25">
      <c r="A187" s="118" t="s">
        <v>4</v>
      </c>
      <c r="B187" s="33" t="s">
        <v>74</v>
      </c>
      <c r="C187" s="119" t="s">
        <v>74</v>
      </c>
      <c r="D187" s="118"/>
      <c r="E187" s="28">
        <v>0</v>
      </c>
      <c r="F187" s="28">
        <v>247530.78</v>
      </c>
      <c r="G187" s="30">
        <f t="shared" ref="G187" si="15">SUM(E187:F187)</f>
        <v>247530.78</v>
      </c>
    </row>
    <row r="188" spans="1:7" x14ac:dyDescent="0.25">
      <c r="A188" s="118" t="s">
        <v>18</v>
      </c>
      <c r="B188" s="33" t="s">
        <v>13</v>
      </c>
      <c r="C188" s="119" t="s">
        <v>189</v>
      </c>
      <c r="D188" s="118"/>
      <c r="E188" s="28">
        <v>0</v>
      </c>
      <c r="F188" s="28">
        <v>49980</v>
      </c>
      <c r="G188" s="30">
        <f>E188+F188</f>
        <v>49980</v>
      </c>
    </row>
    <row r="189" spans="1:7" x14ac:dyDescent="0.25">
      <c r="A189" s="253" t="s">
        <v>22</v>
      </c>
      <c r="B189" s="253"/>
      <c r="C189" s="253"/>
      <c r="D189" s="16"/>
      <c r="E189" s="106">
        <f>SUM(E187:E187)</f>
        <v>0</v>
      </c>
      <c r="F189" s="106">
        <f>F187+F188</f>
        <v>297510.78000000003</v>
      </c>
      <c r="G189" s="18">
        <f>G187+G188</f>
        <v>297510.78000000003</v>
      </c>
    </row>
    <row r="190" spans="1:7" x14ac:dyDescent="0.25">
      <c r="A190" s="15">
        <v>4</v>
      </c>
      <c r="B190" s="254" t="s">
        <v>192</v>
      </c>
      <c r="C190" s="254"/>
      <c r="D190" s="254"/>
      <c r="E190" s="254"/>
      <c r="F190" s="254"/>
      <c r="G190" s="254"/>
    </row>
    <row r="191" spans="1:7" x14ac:dyDescent="0.25">
      <c r="A191" s="253" t="s">
        <v>22</v>
      </c>
      <c r="B191" s="253"/>
      <c r="C191" s="253"/>
      <c r="D191" s="16"/>
      <c r="E191" s="106">
        <v>0</v>
      </c>
      <c r="F191" s="106">
        <v>0</v>
      </c>
      <c r="G191" s="18">
        <v>0</v>
      </c>
    </row>
    <row r="192" spans="1:7" x14ac:dyDescent="0.25">
      <c r="A192" s="15">
        <v>5</v>
      </c>
      <c r="B192" s="267" t="s">
        <v>193</v>
      </c>
      <c r="C192" s="268"/>
      <c r="D192" s="268"/>
      <c r="E192" s="268"/>
      <c r="F192" s="268"/>
      <c r="G192" s="269"/>
    </row>
    <row r="193" spans="1:7" x14ac:dyDescent="0.25">
      <c r="A193" s="118" t="s">
        <v>32</v>
      </c>
      <c r="B193" s="33" t="s">
        <v>3</v>
      </c>
      <c r="C193" s="119" t="s">
        <v>19</v>
      </c>
      <c r="D193" s="118"/>
      <c r="E193" s="28">
        <v>0</v>
      </c>
      <c r="F193" s="28">
        <v>55226.95</v>
      </c>
      <c r="G193" s="28">
        <f>SUM(E193:F193)</f>
        <v>55226.95</v>
      </c>
    </row>
    <row r="194" spans="1:7" x14ac:dyDescent="0.25">
      <c r="A194" s="253" t="s">
        <v>22</v>
      </c>
      <c r="B194" s="253"/>
      <c r="C194" s="253"/>
      <c r="D194" s="16"/>
      <c r="E194" s="106">
        <f>E193</f>
        <v>0</v>
      </c>
      <c r="F194" s="106">
        <f>F193</f>
        <v>55226.95</v>
      </c>
      <c r="G194" s="18">
        <f>G193</f>
        <v>55226.95</v>
      </c>
    </row>
    <row r="195" spans="1:7" x14ac:dyDescent="0.25">
      <c r="A195" s="255" t="s">
        <v>1</v>
      </c>
      <c r="B195" s="255"/>
      <c r="C195" s="255"/>
      <c r="D195" s="255"/>
      <c r="E195" s="39">
        <f>E183+E185+E189+E194</f>
        <v>0</v>
      </c>
      <c r="F195" s="39">
        <f>F189+F194+F183</f>
        <v>352737.73000000004</v>
      </c>
      <c r="G195" s="39">
        <f>E195+F195</f>
        <v>352737.73000000004</v>
      </c>
    </row>
    <row r="196" spans="1:7" x14ac:dyDescent="0.25">
      <c r="A196" s="266" t="s">
        <v>33</v>
      </c>
      <c r="B196" s="266"/>
      <c r="C196" s="266"/>
      <c r="D196" s="266"/>
      <c r="E196" s="266"/>
      <c r="F196" s="266"/>
      <c r="G196" s="266"/>
    </row>
    <row r="197" spans="1:7" x14ac:dyDescent="0.25">
      <c r="A197" s="12"/>
      <c r="B197" s="12"/>
      <c r="C197" s="11"/>
      <c r="D197" s="12"/>
      <c r="E197" s="108"/>
      <c r="F197" s="108"/>
      <c r="G197" s="108"/>
    </row>
    <row r="198" spans="1:7" x14ac:dyDescent="0.25">
      <c r="A198" s="258" t="s">
        <v>210</v>
      </c>
      <c r="B198" s="258"/>
      <c r="C198" s="258"/>
      <c r="D198" s="258"/>
      <c r="E198" s="258"/>
      <c r="F198" s="258"/>
      <c r="G198" s="258"/>
    </row>
    <row r="199" spans="1:7" ht="38.25" x14ac:dyDescent="0.25">
      <c r="A199" s="13" t="s">
        <v>27</v>
      </c>
      <c r="B199" s="13" t="s">
        <v>28</v>
      </c>
      <c r="C199" s="13" t="s">
        <v>29</v>
      </c>
      <c r="D199" s="13" t="s">
        <v>2</v>
      </c>
      <c r="E199" s="14" t="s">
        <v>213</v>
      </c>
      <c r="F199" s="14" t="s">
        <v>214</v>
      </c>
      <c r="G199" s="14" t="s">
        <v>215</v>
      </c>
    </row>
    <row r="200" spans="1:7" x14ac:dyDescent="0.25">
      <c r="A200" s="15">
        <v>1</v>
      </c>
      <c r="B200" s="254" t="s">
        <v>190</v>
      </c>
      <c r="C200" s="254"/>
      <c r="D200" s="254"/>
      <c r="E200" s="254"/>
      <c r="F200" s="254"/>
      <c r="G200" s="254"/>
    </row>
    <row r="201" spans="1:7" x14ac:dyDescent="0.25">
      <c r="A201" s="253" t="s">
        <v>22</v>
      </c>
      <c r="B201" s="253"/>
      <c r="C201" s="253"/>
      <c r="D201" s="16"/>
      <c r="E201" s="106">
        <v>0</v>
      </c>
      <c r="F201" s="106">
        <v>0</v>
      </c>
      <c r="G201" s="106">
        <f>E201+F201</f>
        <v>0</v>
      </c>
    </row>
    <row r="202" spans="1:7" x14ac:dyDescent="0.25">
      <c r="A202" s="15">
        <v>2</v>
      </c>
      <c r="B202" s="254" t="s">
        <v>191</v>
      </c>
      <c r="C202" s="254"/>
      <c r="D202" s="254"/>
      <c r="E202" s="254"/>
      <c r="F202" s="254"/>
      <c r="G202" s="254"/>
    </row>
    <row r="203" spans="1:7" x14ac:dyDescent="0.25">
      <c r="A203" s="81" t="s">
        <v>22</v>
      </c>
      <c r="B203" s="82"/>
      <c r="C203" s="83"/>
      <c r="D203" s="16"/>
      <c r="E203" s="107">
        <f>0</f>
        <v>0</v>
      </c>
      <c r="F203" s="107">
        <f>0</f>
        <v>0</v>
      </c>
      <c r="G203" s="20">
        <f>G202</f>
        <v>0</v>
      </c>
    </row>
    <row r="204" spans="1:7" x14ac:dyDescent="0.25">
      <c r="A204" s="15">
        <v>3</v>
      </c>
      <c r="B204" s="254" t="s">
        <v>187</v>
      </c>
      <c r="C204" s="254"/>
      <c r="D204" s="254"/>
      <c r="E204" s="254"/>
      <c r="F204" s="254"/>
      <c r="G204" s="254"/>
    </row>
    <row r="205" spans="1:7" x14ac:dyDescent="0.25">
      <c r="A205" s="118" t="s">
        <v>4</v>
      </c>
      <c r="B205" s="33" t="s">
        <v>74</v>
      </c>
      <c r="C205" s="119" t="s">
        <v>74</v>
      </c>
      <c r="D205" s="118"/>
      <c r="E205" s="28">
        <v>0</v>
      </c>
      <c r="F205" s="28">
        <v>497176.05</v>
      </c>
      <c r="G205" s="30">
        <f t="shared" ref="G205" si="16">SUM(E205:F205)</f>
        <v>497176.05</v>
      </c>
    </row>
    <row r="206" spans="1:7" x14ac:dyDescent="0.25">
      <c r="A206" s="253" t="s">
        <v>22</v>
      </c>
      <c r="B206" s="253"/>
      <c r="C206" s="253"/>
      <c r="D206" s="16"/>
      <c r="E206" s="106">
        <f>SUM(E205:E205)</f>
        <v>0</v>
      </c>
      <c r="F206" s="106">
        <f>F205</f>
        <v>497176.05</v>
      </c>
      <c r="G206" s="106">
        <f>G205</f>
        <v>497176.05</v>
      </c>
    </row>
    <row r="207" spans="1:7" x14ac:dyDescent="0.25">
      <c r="A207" s="15">
        <v>4</v>
      </c>
      <c r="B207" s="254" t="s">
        <v>192</v>
      </c>
      <c r="C207" s="254"/>
      <c r="D207" s="254"/>
      <c r="E207" s="254"/>
      <c r="F207" s="254"/>
      <c r="G207" s="254"/>
    </row>
    <row r="208" spans="1:7" x14ac:dyDescent="0.25">
      <c r="A208" s="253" t="s">
        <v>22</v>
      </c>
      <c r="B208" s="253"/>
      <c r="C208" s="253"/>
      <c r="D208" s="16"/>
      <c r="E208" s="106">
        <v>0</v>
      </c>
      <c r="F208" s="106">
        <v>0</v>
      </c>
      <c r="G208" s="18">
        <v>0</v>
      </c>
    </row>
    <row r="209" spans="1:7" x14ac:dyDescent="0.25">
      <c r="A209" s="15">
        <v>5</v>
      </c>
      <c r="B209" s="267" t="s">
        <v>193</v>
      </c>
      <c r="C209" s="268"/>
      <c r="D209" s="268"/>
      <c r="E209" s="268"/>
      <c r="F209" s="268"/>
      <c r="G209" s="269"/>
    </row>
    <row r="210" spans="1:7" x14ac:dyDescent="0.25">
      <c r="A210" s="118" t="s">
        <v>32</v>
      </c>
      <c r="B210" s="33" t="s">
        <v>3</v>
      </c>
      <c r="C210" s="119" t="s">
        <v>19</v>
      </c>
      <c r="D210" s="118"/>
      <c r="E210" s="28">
        <v>0</v>
      </c>
      <c r="F210" s="28">
        <v>62836.23</v>
      </c>
      <c r="G210" s="28">
        <f>SUM(E210:F210)</f>
        <v>62836.23</v>
      </c>
    </row>
    <row r="211" spans="1:7" x14ac:dyDescent="0.25">
      <c r="A211" s="253" t="s">
        <v>22</v>
      </c>
      <c r="B211" s="253"/>
      <c r="C211" s="253"/>
      <c r="D211" s="16"/>
      <c r="E211" s="106">
        <f>E210</f>
        <v>0</v>
      </c>
      <c r="F211" s="106">
        <f>F210</f>
        <v>62836.23</v>
      </c>
      <c r="G211" s="18">
        <f>G210</f>
        <v>62836.23</v>
      </c>
    </row>
    <row r="212" spans="1:7" x14ac:dyDescent="0.25">
      <c r="A212" s="255" t="s">
        <v>1</v>
      </c>
      <c r="B212" s="255"/>
      <c r="C212" s="255"/>
      <c r="D212" s="255"/>
      <c r="E212" s="39">
        <f>E201+E203+E206+E211</f>
        <v>0</v>
      </c>
      <c r="F212" s="39">
        <f>F206+F211+F201</f>
        <v>560012.28</v>
      </c>
      <c r="G212" s="39">
        <f>E212+F212</f>
        <v>560012.28</v>
      </c>
    </row>
    <row r="213" spans="1:7" x14ac:dyDescent="0.25">
      <c r="A213" s="266" t="s">
        <v>33</v>
      </c>
      <c r="B213" s="266"/>
      <c r="C213" s="266"/>
      <c r="D213" s="266"/>
      <c r="E213" s="266"/>
      <c r="F213" s="266"/>
      <c r="G213" s="266"/>
    </row>
    <row r="214" spans="1:7" x14ac:dyDescent="0.25">
      <c r="A214" s="12"/>
      <c r="B214" s="12"/>
      <c r="C214" s="11"/>
      <c r="D214" s="12"/>
      <c r="E214" s="108"/>
      <c r="F214" s="108"/>
      <c r="G214" s="108"/>
    </row>
    <row r="215" spans="1:7" x14ac:dyDescent="0.25">
      <c r="A215" s="258" t="s">
        <v>211</v>
      </c>
      <c r="B215" s="258"/>
      <c r="C215" s="258"/>
      <c r="D215" s="258"/>
      <c r="E215" s="258"/>
      <c r="F215" s="258"/>
      <c r="G215" s="258"/>
    </row>
    <row r="216" spans="1:7" ht="38.25" x14ac:dyDescent="0.25">
      <c r="A216" s="13" t="s">
        <v>27</v>
      </c>
      <c r="B216" s="13" t="s">
        <v>28</v>
      </c>
      <c r="C216" s="13" t="s">
        <v>29</v>
      </c>
      <c r="D216" s="13" t="s">
        <v>2</v>
      </c>
      <c r="E216" s="14" t="s">
        <v>213</v>
      </c>
      <c r="F216" s="14" t="s">
        <v>214</v>
      </c>
      <c r="G216" s="14" t="s">
        <v>215</v>
      </c>
    </row>
    <row r="217" spans="1:7" x14ac:dyDescent="0.25">
      <c r="A217" s="15">
        <v>1</v>
      </c>
      <c r="B217" s="254" t="s">
        <v>190</v>
      </c>
      <c r="C217" s="254"/>
      <c r="D217" s="254"/>
      <c r="E217" s="254"/>
      <c r="F217" s="254"/>
      <c r="G217" s="254"/>
    </row>
    <row r="218" spans="1:7" s="1" customFormat="1" x14ac:dyDescent="0.25">
      <c r="A218" s="118" t="s">
        <v>48</v>
      </c>
      <c r="B218" s="119" t="s">
        <v>216</v>
      </c>
      <c r="C218" s="119" t="s">
        <v>135</v>
      </c>
      <c r="D218" s="119"/>
      <c r="E218" s="57">
        <v>0</v>
      </c>
      <c r="F218" s="57">
        <v>96784</v>
      </c>
      <c r="G218" s="57">
        <f>SUM(E218:F218)</f>
        <v>96784</v>
      </c>
    </row>
    <row r="219" spans="1:7" x14ac:dyDescent="0.25">
      <c r="A219" s="253" t="s">
        <v>22</v>
      </c>
      <c r="B219" s="253"/>
      <c r="C219" s="253"/>
      <c r="D219" s="16"/>
      <c r="E219" s="106">
        <v>0</v>
      </c>
      <c r="F219" s="106">
        <f>F218</f>
        <v>96784</v>
      </c>
      <c r="G219" s="106">
        <f>E219+F219</f>
        <v>96784</v>
      </c>
    </row>
    <row r="220" spans="1:7" x14ac:dyDescent="0.25">
      <c r="A220" s="15">
        <v>2</v>
      </c>
      <c r="B220" s="254" t="s">
        <v>191</v>
      </c>
      <c r="C220" s="254"/>
      <c r="D220" s="254"/>
      <c r="E220" s="254"/>
      <c r="F220" s="254"/>
      <c r="G220" s="254"/>
    </row>
    <row r="221" spans="1:7" x14ac:dyDescent="0.25">
      <c r="A221" s="81" t="s">
        <v>22</v>
      </c>
      <c r="B221" s="82"/>
      <c r="C221" s="83"/>
      <c r="D221" s="16"/>
      <c r="E221" s="107">
        <f>0</f>
        <v>0</v>
      </c>
      <c r="F221" s="107">
        <f>0</f>
        <v>0</v>
      </c>
      <c r="G221" s="20">
        <f>G220</f>
        <v>0</v>
      </c>
    </row>
    <row r="222" spans="1:7" x14ac:dyDescent="0.25">
      <c r="A222" s="15" t="s">
        <v>4</v>
      </c>
      <c r="B222" s="254" t="s">
        <v>187</v>
      </c>
      <c r="C222" s="254"/>
      <c r="D222" s="254"/>
      <c r="E222" s="254"/>
      <c r="F222" s="254"/>
      <c r="G222" s="254"/>
    </row>
    <row r="223" spans="1:7" x14ac:dyDescent="0.25">
      <c r="A223" s="118" t="s">
        <v>184</v>
      </c>
      <c r="B223" s="33" t="s">
        <v>74</v>
      </c>
      <c r="C223" s="119" t="s">
        <v>74</v>
      </c>
      <c r="D223" s="118"/>
      <c r="E223" s="28">
        <v>0</v>
      </c>
      <c r="F223" s="28">
        <v>266657.37</v>
      </c>
      <c r="G223" s="30">
        <f t="shared" ref="G223:G225" si="17">SUM(E223:F223)</f>
        <v>266657.37</v>
      </c>
    </row>
    <row r="224" spans="1:7" x14ac:dyDescent="0.25">
      <c r="A224" s="118" t="s">
        <v>185</v>
      </c>
      <c r="B224" s="119" t="s">
        <v>217</v>
      </c>
      <c r="C224" s="119" t="s">
        <v>164</v>
      </c>
      <c r="D224" s="118"/>
      <c r="E224" s="28">
        <v>0</v>
      </c>
      <c r="F224" s="28">
        <v>8800</v>
      </c>
      <c r="G224" s="30">
        <f t="shared" si="17"/>
        <v>8800</v>
      </c>
    </row>
    <row r="225" spans="1:7" x14ac:dyDescent="0.25">
      <c r="A225" s="118" t="s">
        <v>186</v>
      </c>
      <c r="B225" s="119" t="s">
        <v>10</v>
      </c>
      <c r="C225" s="119" t="s">
        <v>11</v>
      </c>
      <c r="D225" s="118"/>
      <c r="E225" s="28">
        <v>0</v>
      </c>
      <c r="F225" s="28">
        <v>44543.78</v>
      </c>
      <c r="G225" s="30">
        <f t="shared" si="17"/>
        <v>44543.78</v>
      </c>
    </row>
    <row r="226" spans="1:7" x14ac:dyDescent="0.25">
      <c r="A226" s="118" t="s">
        <v>188</v>
      </c>
      <c r="B226" s="33" t="s">
        <v>13</v>
      </c>
      <c r="C226" s="119" t="s">
        <v>189</v>
      </c>
      <c r="D226" s="118"/>
      <c r="E226" s="28">
        <v>0</v>
      </c>
      <c r="F226" s="28">
        <v>22000.2</v>
      </c>
      <c r="G226" s="30">
        <f>E226+F226</f>
        <v>22000.2</v>
      </c>
    </row>
    <row r="227" spans="1:7" x14ac:dyDescent="0.25">
      <c r="A227" s="253" t="s">
        <v>22</v>
      </c>
      <c r="B227" s="253"/>
      <c r="C227" s="253"/>
      <c r="D227" s="16"/>
      <c r="E227" s="106">
        <f>SUM(E223:E225)</f>
        <v>0</v>
      </c>
      <c r="F227" s="106">
        <f>SUM(F223:F226)</f>
        <v>342001.35000000003</v>
      </c>
      <c r="G227" s="106">
        <f>SUM(G223:G226)</f>
        <v>342001.35000000003</v>
      </c>
    </row>
    <row r="228" spans="1:7" x14ac:dyDescent="0.25">
      <c r="A228" s="15">
        <v>4</v>
      </c>
      <c r="B228" s="254" t="s">
        <v>192</v>
      </c>
      <c r="C228" s="254"/>
      <c r="D228" s="254"/>
      <c r="E228" s="254"/>
      <c r="F228" s="254"/>
      <c r="G228" s="254"/>
    </row>
    <row r="229" spans="1:7" x14ac:dyDescent="0.25">
      <c r="A229" s="253" t="s">
        <v>22</v>
      </c>
      <c r="B229" s="253"/>
      <c r="C229" s="253"/>
      <c r="D229" s="16"/>
      <c r="E229" s="106">
        <v>0</v>
      </c>
      <c r="F229" s="106">
        <v>0</v>
      </c>
      <c r="G229" s="18">
        <v>0</v>
      </c>
    </row>
    <row r="230" spans="1:7" x14ac:dyDescent="0.25">
      <c r="A230" s="15">
        <v>5</v>
      </c>
      <c r="B230" s="267" t="s">
        <v>193</v>
      </c>
      <c r="C230" s="268"/>
      <c r="D230" s="268"/>
      <c r="E230" s="268"/>
      <c r="F230" s="268"/>
      <c r="G230" s="269"/>
    </row>
    <row r="231" spans="1:7" x14ac:dyDescent="0.25">
      <c r="A231" s="118" t="s">
        <v>32</v>
      </c>
      <c r="B231" s="33" t="s">
        <v>3</v>
      </c>
      <c r="C231" s="119" t="s">
        <v>19</v>
      </c>
      <c r="D231" s="118"/>
      <c r="E231" s="28">
        <v>0</v>
      </c>
      <c r="F231" s="28">
        <v>43505.23</v>
      </c>
      <c r="G231" s="28">
        <f>SUM(E231:F231)</f>
        <v>43505.23</v>
      </c>
    </row>
    <row r="232" spans="1:7" x14ac:dyDescent="0.25">
      <c r="A232" s="253" t="s">
        <v>22</v>
      </c>
      <c r="B232" s="253"/>
      <c r="C232" s="253"/>
      <c r="D232" s="16"/>
      <c r="E232" s="106">
        <f>E231</f>
        <v>0</v>
      </c>
      <c r="F232" s="106">
        <f>F231</f>
        <v>43505.23</v>
      </c>
      <c r="G232" s="18">
        <f>G231</f>
        <v>43505.23</v>
      </c>
    </row>
    <row r="233" spans="1:7" x14ac:dyDescent="0.25">
      <c r="A233" s="255" t="s">
        <v>1</v>
      </c>
      <c r="B233" s="255"/>
      <c r="C233" s="255"/>
      <c r="D233" s="255"/>
      <c r="E233" s="39">
        <f>E219+E221+E227+E232</f>
        <v>0</v>
      </c>
      <c r="F233" s="39">
        <f>F227+F232+F219+F221</f>
        <v>482290.58</v>
      </c>
      <c r="G233" s="39">
        <f>E233+F233</f>
        <v>482290.58</v>
      </c>
    </row>
    <row r="234" spans="1:7" x14ac:dyDescent="0.25">
      <c r="A234" s="266" t="s">
        <v>33</v>
      </c>
      <c r="B234" s="266"/>
      <c r="C234" s="266"/>
      <c r="D234" s="266"/>
      <c r="E234" s="266"/>
      <c r="F234" s="266"/>
      <c r="G234" s="266"/>
    </row>
  </sheetData>
  <mergeCells count="147">
    <mergeCell ref="A10:C10"/>
    <mergeCell ref="B11:G11"/>
    <mergeCell ref="B13:G13"/>
    <mergeCell ref="A18:C18"/>
    <mergeCell ref="B19:G19"/>
    <mergeCell ref="A20:C20"/>
    <mergeCell ref="A2:G2"/>
    <mergeCell ref="A3:G3"/>
    <mergeCell ref="B4:G4"/>
    <mergeCell ref="A5:G5"/>
    <mergeCell ref="A7:G7"/>
    <mergeCell ref="B9:G9"/>
    <mergeCell ref="B31:G31"/>
    <mergeCell ref="B33:G33"/>
    <mergeCell ref="A37:C37"/>
    <mergeCell ref="B38:G38"/>
    <mergeCell ref="A39:C39"/>
    <mergeCell ref="B40:G40"/>
    <mergeCell ref="B21:G21"/>
    <mergeCell ref="A23:C23"/>
    <mergeCell ref="A24:D24"/>
    <mergeCell ref="A27:G27"/>
    <mergeCell ref="B29:G29"/>
    <mergeCell ref="A30:C30"/>
    <mergeCell ref="B50:G50"/>
    <mergeCell ref="B54:G54"/>
    <mergeCell ref="A57:C57"/>
    <mergeCell ref="B58:G58"/>
    <mergeCell ref="A59:C59"/>
    <mergeCell ref="B60:G60"/>
    <mergeCell ref="A42:C42"/>
    <mergeCell ref="A43:D43"/>
    <mergeCell ref="A44:G44"/>
    <mergeCell ref="A46:G46"/>
    <mergeCell ref="B48:G48"/>
    <mergeCell ref="A49:C49"/>
    <mergeCell ref="B70:G70"/>
    <mergeCell ref="B74:G74"/>
    <mergeCell ref="A77:C77"/>
    <mergeCell ref="B78:G78"/>
    <mergeCell ref="A79:C79"/>
    <mergeCell ref="A62:C62"/>
    <mergeCell ref="A63:D63"/>
    <mergeCell ref="A64:G64"/>
    <mergeCell ref="A66:G66"/>
    <mergeCell ref="B68:G68"/>
    <mergeCell ref="A69:C69"/>
    <mergeCell ref="A89:C89"/>
    <mergeCell ref="B90:G90"/>
    <mergeCell ref="B92:G92"/>
    <mergeCell ref="A96:C96"/>
    <mergeCell ref="B97:G97"/>
    <mergeCell ref="B80:G80"/>
    <mergeCell ref="A82:C82"/>
    <mergeCell ref="A83:D83"/>
    <mergeCell ref="A84:G84"/>
    <mergeCell ref="A86:G86"/>
    <mergeCell ref="B88:G88"/>
    <mergeCell ref="B107:G107"/>
    <mergeCell ref="A108:C108"/>
    <mergeCell ref="B109:G109"/>
    <mergeCell ref="B111:G111"/>
    <mergeCell ref="A115:C115"/>
    <mergeCell ref="A98:C98"/>
    <mergeCell ref="B99:G99"/>
    <mergeCell ref="A101:C101"/>
    <mergeCell ref="A102:D102"/>
    <mergeCell ref="A103:G103"/>
    <mergeCell ref="A105:G105"/>
    <mergeCell ref="A124:G124"/>
    <mergeCell ref="B126:G126"/>
    <mergeCell ref="A127:C127"/>
    <mergeCell ref="B128:G128"/>
    <mergeCell ref="B130:G130"/>
    <mergeCell ref="B116:G116"/>
    <mergeCell ref="A117:C117"/>
    <mergeCell ref="B118:G118"/>
    <mergeCell ref="A120:C120"/>
    <mergeCell ref="A121:D121"/>
    <mergeCell ref="A122:G122"/>
    <mergeCell ref="A141:G141"/>
    <mergeCell ref="A143:G143"/>
    <mergeCell ref="B145:G145"/>
    <mergeCell ref="A146:C146"/>
    <mergeCell ref="B147:G147"/>
    <mergeCell ref="B149:G149"/>
    <mergeCell ref="A134:C134"/>
    <mergeCell ref="B135:G135"/>
    <mergeCell ref="A136:C136"/>
    <mergeCell ref="B137:G137"/>
    <mergeCell ref="A139:C139"/>
    <mergeCell ref="A140:D140"/>
    <mergeCell ref="A158:D158"/>
    <mergeCell ref="A159:G159"/>
    <mergeCell ref="A161:G161"/>
    <mergeCell ref="B163:G163"/>
    <mergeCell ref="A164:C164"/>
    <mergeCell ref="B165:G165"/>
    <mergeCell ref="A152:C152"/>
    <mergeCell ref="B153:G153"/>
    <mergeCell ref="A154:C154"/>
    <mergeCell ref="B155:G155"/>
    <mergeCell ref="A157:C157"/>
    <mergeCell ref="A177:D177"/>
    <mergeCell ref="A178:G178"/>
    <mergeCell ref="A180:G180"/>
    <mergeCell ref="B182:G182"/>
    <mergeCell ref="A183:C183"/>
    <mergeCell ref="B184:G184"/>
    <mergeCell ref="B168:G168"/>
    <mergeCell ref="A171:C171"/>
    <mergeCell ref="B172:G172"/>
    <mergeCell ref="A173:C173"/>
    <mergeCell ref="B174:G174"/>
    <mergeCell ref="A176:C176"/>
    <mergeCell ref="A194:C194"/>
    <mergeCell ref="A195:D195"/>
    <mergeCell ref="A196:G196"/>
    <mergeCell ref="A198:G198"/>
    <mergeCell ref="B200:G200"/>
    <mergeCell ref="A201:C201"/>
    <mergeCell ref="B186:G186"/>
    <mergeCell ref="A189:C189"/>
    <mergeCell ref="B190:G190"/>
    <mergeCell ref="A191:C191"/>
    <mergeCell ref="B192:G192"/>
    <mergeCell ref="B209:G209"/>
    <mergeCell ref="A211:C211"/>
    <mergeCell ref="A212:D212"/>
    <mergeCell ref="A213:G213"/>
    <mergeCell ref="A215:G215"/>
    <mergeCell ref="B217:G217"/>
    <mergeCell ref="B202:G202"/>
    <mergeCell ref="B204:G204"/>
    <mergeCell ref="A206:C206"/>
    <mergeCell ref="B207:G207"/>
    <mergeCell ref="A208:C208"/>
    <mergeCell ref="A229:C229"/>
    <mergeCell ref="B230:G230"/>
    <mergeCell ref="A232:C232"/>
    <mergeCell ref="A233:D233"/>
    <mergeCell ref="A234:G234"/>
    <mergeCell ref="A219:C219"/>
    <mergeCell ref="B220:G220"/>
    <mergeCell ref="B222:G222"/>
    <mergeCell ref="A227:C227"/>
    <mergeCell ref="B228:G22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1"/>
  <sheetViews>
    <sheetView topLeftCell="A157" workbookViewId="0">
      <selection activeCell="B242" sqref="B242:C242"/>
    </sheetView>
  </sheetViews>
  <sheetFormatPr defaultRowHeight="15" x14ac:dyDescent="0.25"/>
  <cols>
    <col min="1" max="1" width="8.28515625" bestFit="1" customWidth="1"/>
    <col min="2" max="2" width="51.140625" bestFit="1" customWidth="1"/>
    <col min="3" max="3" width="44" bestFit="1" customWidth="1"/>
    <col min="4" max="4" width="11.5703125" hidden="1" customWidth="1"/>
    <col min="5" max="5" width="13.5703125" bestFit="1" customWidth="1"/>
    <col min="6" max="7" width="15" bestFit="1" customWidth="1"/>
  </cols>
  <sheetData>
    <row r="1" spans="1:7" ht="15.75" x14ac:dyDescent="0.25">
      <c r="A1" s="265" t="s">
        <v>35</v>
      </c>
      <c r="B1" s="265"/>
      <c r="C1" s="265"/>
      <c r="D1" s="265"/>
      <c r="E1" s="265"/>
      <c r="F1" s="265"/>
      <c r="G1" s="265"/>
    </row>
    <row r="2" spans="1:7" ht="15.75" x14ac:dyDescent="0.25">
      <c r="A2" s="265" t="s">
        <v>34</v>
      </c>
      <c r="B2" s="265"/>
      <c r="C2" s="265"/>
      <c r="D2" s="265"/>
      <c r="E2" s="265"/>
      <c r="F2" s="265"/>
      <c r="G2" s="265"/>
    </row>
    <row r="3" spans="1:7" ht="15.75" x14ac:dyDescent="0.25">
      <c r="A3" s="3"/>
      <c r="B3" s="265" t="s">
        <v>30</v>
      </c>
      <c r="C3" s="265"/>
      <c r="D3" s="265"/>
      <c r="E3" s="265"/>
      <c r="F3" s="265"/>
      <c r="G3" s="265"/>
    </row>
    <row r="4" spans="1:7" ht="15.75" x14ac:dyDescent="0.25">
      <c r="A4" s="265" t="s">
        <v>227</v>
      </c>
      <c r="B4" s="265"/>
      <c r="C4" s="265"/>
      <c r="D4" s="265"/>
      <c r="E4" s="265"/>
      <c r="F4" s="265"/>
      <c r="G4" s="265"/>
    </row>
    <row r="5" spans="1:7" ht="15.75" x14ac:dyDescent="0.25">
      <c r="A5" s="123"/>
      <c r="B5" s="123"/>
      <c r="C5" s="123"/>
      <c r="D5" s="123"/>
      <c r="E5" s="123"/>
      <c r="F5" s="123"/>
      <c r="G5" s="123"/>
    </row>
    <row r="6" spans="1:7" x14ac:dyDescent="0.25">
      <c r="A6" s="258" t="s">
        <v>226</v>
      </c>
      <c r="B6" s="258"/>
      <c r="C6" s="258"/>
      <c r="D6" s="258"/>
      <c r="E6" s="258"/>
      <c r="F6" s="258"/>
      <c r="G6" s="258"/>
    </row>
    <row r="7" spans="1:7" ht="38.25" x14ac:dyDescent="0.25">
      <c r="A7" s="13" t="s">
        <v>27</v>
      </c>
      <c r="B7" s="13" t="s">
        <v>28</v>
      </c>
      <c r="C7" s="13" t="s">
        <v>29</v>
      </c>
      <c r="D7" s="13" t="s">
        <v>2</v>
      </c>
      <c r="E7" s="14" t="s">
        <v>231</v>
      </c>
      <c r="F7" s="14" t="s">
        <v>232</v>
      </c>
      <c r="G7" s="14" t="s">
        <v>233</v>
      </c>
    </row>
    <row r="8" spans="1:7" x14ac:dyDescent="0.25">
      <c r="A8" s="15">
        <v>1</v>
      </c>
      <c r="B8" s="254" t="s">
        <v>190</v>
      </c>
      <c r="C8" s="254"/>
      <c r="D8" s="254"/>
      <c r="E8" s="254"/>
      <c r="F8" s="254"/>
      <c r="G8" s="254"/>
    </row>
    <row r="9" spans="1:7" s="1" customFormat="1" x14ac:dyDescent="0.25">
      <c r="A9" s="121" t="s">
        <v>48</v>
      </c>
      <c r="B9" s="122" t="s">
        <v>85</v>
      </c>
      <c r="C9" s="122" t="s">
        <v>228</v>
      </c>
      <c r="D9" s="121"/>
      <c r="E9" s="28">
        <f>95796+44116.5</f>
        <v>139912.5</v>
      </c>
      <c r="F9" s="28">
        <v>0</v>
      </c>
      <c r="G9" s="30">
        <f t="shared" ref="G9:G11" si="0">SUM(E9:F9)</f>
        <v>139912.5</v>
      </c>
    </row>
    <row r="10" spans="1:7" s="1" customFormat="1" x14ac:dyDescent="0.25">
      <c r="A10" s="121" t="s">
        <v>70</v>
      </c>
      <c r="B10" s="122" t="s">
        <v>230</v>
      </c>
      <c r="C10" s="122" t="s">
        <v>229</v>
      </c>
      <c r="D10" s="121"/>
      <c r="E10" s="28">
        <f>13678+18600</f>
        <v>32278</v>
      </c>
      <c r="F10" s="28">
        <v>0</v>
      </c>
      <c r="G10" s="30">
        <f t="shared" si="0"/>
        <v>32278</v>
      </c>
    </row>
    <row r="11" spans="1:7" s="1" customFormat="1" x14ac:dyDescent="0.25">
      <c r="A11" s="121" t="s">
        <v>71</v>
      </c>
      <c r="B11" s="122" t="s">
        <v>139</v>
      </c>
      <c r="C11" s="122" t="s">
        <v>234</v>
      </c>
      <c r="D11" s="121"/>
      <c r="E11" s="28">
        <v>6785</v>
      </c>
      <c r="F11" s="28">
        <v>0</v>
      </c>
      <c r="G11" s="30">
        <f t="shared" si="0"/>
        <v>6785</v>
      </c>
    </row>
    <row r="12" spans="1:7" s="1" customFormat="1" x14ac:dyDescent="0.25">
      <c r="A12" s="253" t="s">
        <v>22</v>
      </c>
      <c r="B12" s="253"/>
      <c r="C12" s="253"/>
      <c r="D12" s="16"/>
      <c r="E12" s="106">
        <f>SUM(E9:E11)</f>
        <v>178975.5</v>
      </c>
      <c r="F12" s="106">
        <f>SUM(F9:F11)</f>
        <v>0</v>
      </c>
      <c r="G12" s="106">
        <f>SUM(G9:G11)</f>
        <v>178975.5</v>
      </c>
    </row>
    <row r="13" spans="1:7" x14ac:dyDescent="0.25">
      <c r="A13" s="15">
        <v>2</v>
      </c>
      <c r="B13" s="254" t="s">
        <v>191</v>
      </c>
      <c r="C13" s="254"/>
      <c r="D13" s="254"/>
      <c r="E13" s="254"/>
      <c r="F13" s="254"/>
      <c r="G13" s="254"/>
    </row>
    <row r="14" spans="1:7" x14ac:dyDescent="0.25">
      <c r="A14" s="81" t="s">
        <v>22</v>
      </c>
      <c r="B14" s="82"/>
      <c r="C14" s="83"/>
      <c r="D14" s="16"/>
      <c r="E14" s="107">
        <f>0</f>
        <v>0</v>
      </c>
      <c r="F14" s="107">
        <f>0</f>
        <v>0</v>
      </c>
      <c r="G14" s="20">
        <f>G13</f>
        <v>0</v>
      </c>
    </row>
    <row r="15" spans="1:7" x14ac:dyDescent="0.25">
      <c r="A15" s="15">
        <v>3</v>
      </c>
      <c r="B15" s="254" t="s">
        <v>187</v>
      </c>
      <c r="C15" s="254"/>
      <c r="D15" s="254"/>
      <c r="E15" s="254"/>
      <c r="F15" s="254"/>
      <c r="G15" s="254"/>
    </row>
    <row r="16" spans="1:7" x14ac:dyDescent="0.25">
      <c r="A16" s="121" t="s">
        <v>4</v>
      </c>
      <c r="B16" s="33" t="s">
        <v>235</v>
      </c>
      <c r="C16" s="122" t="s">
        <v>236</v>
      </c>
      <c r="D16" s="121"/>
      <c r="E16" s="28">
        <v>9435</v>
      </c>
      <c r="F16" s="28">
        <v>0</v>
      </c>
      <c r="G16" s="30">
        <f t="shared" ref="G16:G20" si="1">SUM(E16:F16)</f>
        <v>9435</v>
      </c>
    </row>
    <row r="17" spans="1:7" x14ac:dyDescent="0.25">
      <c r="A17" s="121" t="s">
        <v>5</v>
      </c>
      <c r="B17" s="122" t="s">
        <v>10</v>
      </c>
      <c r="C17" s="122" t="s">
        <v>11</v>
      </c>
      <c r="D17" s="121"/>
      <c r="E17" s="28">
        <v>25456.22</v>
      </c>
      <c r="F17" s="28">
        <v>0</v>
      </c>
      <c r="G17" s="30">
        <f t="shared" si="1"/>
        <v>25456.22</v>
      </c>
    </row>
    <row r="18" spans="1:7" x14ac:dyDescent="0.25">
      <c r="A18" s="121" t="s">
        <v>6</v>
      </c>
      <c r="B18" s="33" t="s">
        <v>163</v>
      </c>
      <c r="C18" s="122" t="s">
        <v>164</v>
      </c>
      <c r="D18" s="121"/>
      <c r="E18" s="28">
        <v>111463.2</v>
      </c>
      <c r="F18" s="28">
        <v>0</v>
      </c>
      <c r="G18" s="30">
        <f t="shared" si="1"/>
        <v>111463.2</v>
      </c>
    </row>
    <row r="19" spans="1:7" x14ac:dyDescent="0.25">
      <c r="A19" s="121" t="s">
        <v>18</v>
      </c>
      <c r="B19" s="122" t="s">
        <v>7</v>
      </c>
      <c r="C19" s="122" t="s">
        <v>164</v>
      </c>
      <c r="D19" s="121"/>
      <c r="E19" s="28">
        <v>7920</v>
      </c>
      <c r="F19" s="28">
        <v>0</v>
      </c>
      <c r="G19" s="30">
        <f t="shared" si="1"/>
        <v>7920</v>
      </c>
    </row>
    <row r="20" spans="1:7" s="1" customFormat="1" x14ac:dyDescent="0.25">
      <c r="A20" s="121" t="s">
        <v>23</v>
      </c>
      <c r="B20" s="122" t="s">
        <v>74</v>
      </c>
      <c r="C20" s="122" t="s">
        <v>74</v>
      </c>
      <c r="D20" s="121"/>
      <c r="E20" s="28">
        <v>0</v>
      </c>
      <c r="F20" s="28">
        <v>220096.09</v>
      </c>
      <c r="G20" s="30">
        <f t="shared" si="1"/>
        <v>220096.09</v>
      </c>
    </row>
    <row r="21" spans="1:7" x14ac:dyDescent="0.25">
      <c r="A21" s="253" t="s">
        <v>22</v>
      </c>
      <c r="B21" s="253"/>
      <c r="C21" s="253"/>
      <c r="D21" s="16"/>
      <c r="E21" s="106">
        <f>SUM(E16:E20)</f>
        <v>154274.41999999998</v>
      </c>
      <c r="F21" s="106">
        <f>SUM(F16:F20)</f>
        <v>220096.09</v>
      </c>
      <c r="G21" s="18">
        <f>SUM(G15:G19)</f>
        <v>154274.41999999998</v>
      </c>
    </row>
    <row r="22" spans="1:7" x14ac:dyDescent="0.25">
      <c r="A22" s="15">
        <v>4</v>
      </c>
      <c r="B22" s="254" t="s">
        <v>192</v>
      </c>
      <c r="C22" s="254"/>
      <c r="D22" s="254"/>
      <c r="E22" s="254"/>
      <c r="F22" s="254"/>
      <c r="G22" s="254"/>
    </row>
    <row r="23" spans="1:7" x14ac:dyDescent="0.25">
      <c r="A23" s="253" t="s">
        <v>22</v>
      </c>
      <c r="B23" s="253"/>
      <c r="C23" s="253"/>
      <c r="D23" s="16"/>
      <c r="E23" s="106">
        <v>0</v>
      </c>
      <c r="F23" s="106">
        <v>0</v>
      </c>
      <c r="G23" s="18">
        <v>0</v>
      </c>
    </row>
    <row r="24" spans="1:7" x14ac:dyDescent="0.25">
      <c r="A24" s="15">
        <v>5</v>
      </c>
      <c r="B24" s="267" t="s">
        <v>193</v>
      </c>
      <c r="C24" s="268"/>
      <c r="D24" s="268"/>
      <c r="E24" s="268"/>
      <c r="F24" s="268"/>
      <c r="G24" s="269"/>
    </row>
    <row r="25" spans="1:7" x14ac:dyDescent="0.25">
      <c r="A25" s="121" t="s">
        <v>32</v>
      </c>
      <c r="B25" s="33" t="s">
        <v>3</v>
      </c>
      <c r="C25" s="122" t="s">
        <v>19</v>
      </c>
      <c r="D25" s="121"/>
      <c r="E25" s="28">
        <v>49048.25</v>
      </c>
      <c r="F25" s="28">
        <v>7940.4</v>
      </c>
      <c r="G25" s="28">
        <f>SUM(E25:F25)</f>
        <v>56988.65</v>
      </c>
    </row>
    <row r="26" spans="1:7" x14ac:dyDescent="0.25">
      <c r="A26" s="253" t="s">
        <v>22</v>
      </c>
      <c r="B26" s="253"/>
      <c r="C26" s="253"/>
      <c r="D26" s="16"/>
      <c r="E26" s="106">
        <f>E25</f>
        <v>49048.25</v>
      </c>
      <c r="F26" s="106">
        <f>F25</f>
        <v>7940.4</v>
      </c>
      <c r="G26" s="18">
        <f>SUM(E26:F26)</f>
        <v>56988.65</v>
      </c>
    </row>
    <row r="27" spans="1:7" x14ac:dyDescent="0.25">
      <c r="A27" s="255" t="s">
        <v>1</v>
      </c>
      <c r="B27" s="255"/>
      <c r="C27" s="255"/>
      <c r="D27" s="255"/>
      <c r="E27" s="39">
        <f>E12+E14+E21+E23+E26</f>
        <v>382298.17</v>
      </c>
      <c r="F27" s="39">
        <f t="shared" ref="F27:G27" si="2">F12+F14+F21+F23+F26</f>
        <v>228036.49</v>
      </c>
      <c r="G27" s="39">
        <f t="shared" si="2"/>
        <v>390238.57</v>
      </c>
    </row>
    <row r="28" spans="1:7" x14ac:dyDescent="0.25">
      <c r="A28" s="10" t="s">
        <v>33</v>
      </c>
      <c r="B28" s="10"/>
      <c r="C28" s="11"/>
      <c r="D28" s="12"/>
      <c r="E28" s="108"/>
      <c r="F28" s="108"/>
      <c r="G28" s="108"/>
    </row>
    <row r="30" spans="1:7" x14ac:dyDescent="0.25">
      <c r="A30" s="258" t="s">
        <v>237</v>
      </c>
      <c r="B30" s="258"/>
      <c r="C30" s="258"/>
      <c r="D30" s="258"/>
      <c r="E30" s="258"/>
      <c r="F30" s="258"/>
      <c r="G30" s="258"/>
    </row>
    <row r="31" spans="1:7" ht="38.25" x14ac:dyDescent="0.25">
      <c r="A31" s="13" t="s">
        <v>27</v>
      </c>
      <c r="B31" s="13" t="s">
        <v>28</v>
      </c>
      <c r="C31" s="13" t="s">
        <v>29</v>
      </c>
      <c r="D31" s="13" t="s">
        <v>2</v>
      </c>
      <c r="E31" s="14" t="s">
        <v>231</v>
      </c>
      <c r="F31" s="14" t="s">
        <v>232</v>
      </c>
      <c r="G31" s="14" t="s">
        <v>233</v>
      </c>
    </row>
    <row r="32" spans="1:7" x14ac:dyDescent="0.25">
      <c r="A32" s="15">
        <v>1</v>
      </c>
      <c r="B32" s="254" t="s">
        <v>190</v>
      </c>
      <c r="C32" s="254"/>
      <c r="D32" s="254"/>
      <c r="E32" s="254"/>
      <c r="F32" s="254"/>
      <c r="G32" s="254"/>
    </row>
    <row r="33" spans="1:7" x14ac:dyDescent="0.25">
      <c r="A33" s="124" t="s">
        <v>48</v>
      </c>
      <c r="B33" s="127" t="s">
        <v>238</v>
      </c>
      <c r="C33" s="125" t="s">
        <v>64</v>
      </c>
      <c r="D33" s="124"/>
      <c r="E33" s="28">
        <v>31211</v>
      </c>
      <c r="F33" s="28">
        <v>0</v>
      </c>
      <c r="G33" s="30">
        <f t="shared" ref="G33" si="3">SUM(E33:F33)</f>
        <v>31211</v>
      </c>
    </row>
    <row r="34" spans="1:7" x14ac:dyDescent="0.25">
      <c r="A34" s="253" t="s">
        <v>22</v>
      </c>
      <c r="B34" s="253"/>
      <c r="C34" s="253"/>
      <c r="D34" s="16"/>
      <c r="E34" s="106">
        <f>SUM(E33:E33)</f>
        <v>31211</v>
      </c>
      <c r="F34" s="106">
        <f>SUM(F33:F33)</f>
        <v>0</v>
      </c>
      <c r="G34" s="106">
        <f>SUM(G33:G33)</f>
        <v>31211</v>
      </c>
    </row>
    <row r="35" spans="1:7" x14ac:dyDescent="0.25">
      <c r="A35" s="15">
        <v>2</v>
      </c>
      <c r="B35" s="254" t="s">
        <v>191</v>
      </c>
      <c r="C35" s="254"/>
      <c r="D35" s="254"/>
      <c r="E35" s="254"/>
      <c r="F35" s="254"/>
      <c r="G35" s="254"/>
    </row>
    <row r="36" spans="1:7" x14ac:dyDescent="0.25">
      <c r="A36" s="81" t="s">
        <v>22</v>
      </c>
      <c r="B36" s="82"/>
      <c r="C36" s="83"/>
      <c r="D36" s="16"/>
      <c r="E36" s="107">
        <f>0</f>
        <v>0</v>
      </c>
      <c r="F36" s="107">
        <f>0</f>
        <v>0</v>
      </c>
      <c r="G36" s="20">
        <f>G35</f>
        <v>0</v>
      </c>
    </row>
    <row r="37" spans="1:7" x14ac:dyDescent="0.25">
      <c r="A37" s="15">
        <v>3</v>
      </c>
      <c r="B37" s="254" t="s">
        <v>187</v>
      </c>
      <c r="C37" s="254"/>
      <c r="D37" s="254"/>
      <c r="E37" s="254"/>
      <c r="F37" s="254"/>
      <c r="G37" s="254"/>
    </row>
    <row r="38" spans="1:7" x14ac:dyDescent="0.25">
      <c r="A38" s="124" t="s">
        <v>4</v>
      </c>
      <c r="B38" s="33" t="s">
        <v>13</v>
      </c>
      <c r="C38" s="125" t="s">
        <v>189</v>
      </c>
      <c r="D38" s="124"/>
      <c r="E38" s="28">
        <v>7674.05</v>
      </c>
      <c r="F38" s="28">
        <v>3395.6</v>
      </c>
      <c r="G38" s="30">
        <f t="shared" ref="G38:G40" si="4">SUM(E38:F38)</f>
        <v>11069.65</v>
      </c>
    </row>
    <row r="39" spans="1:7" x14ac:dyDescent="0.25">
      <c r="A39" s="124" t="s">
        <v>5</v>
      </c>
      <c r="B39" s="33" t="s">
        <v>163</v>
      </c>
      <c r="C39" s="125" t="s">
        <v>164</v>
      </c>
      <c r="D39" s="124"/>
      <c r="E39" s="28">
        <v>0</v>
      </c>
      <c r="F39" s="28">
        <v>115531.2</v>
      </c>
      <c r="G39" s="30">
        <f t="shared" si="4"/>
        <v>115531.2</v>
      </c>
    </row>
    <row r="40" spans="1:7" x14ac:dyDescent="0.25">
      <c r="A40" s="124" t="s">
        <v>6</v>
      </c>
      <c r="B40" s="125" t="s">
        <v>74</v>
      </c>
      <c r="C40" s="125" t="s">
        <v>74</v>
      </c>
      <c r="D40" s="124"/>
      <c r="E40" s="28">
        <v>0</v>
      </c>
      <c r="F40" s="28">
        <f>22113.92+858.38-580.98-858.38+12531.08+627+2376+1230+59558.89+7277+143623.74</f>
        <v>248756.65</v>
      </c>
      <c r="G40" s="30">
        <f t="shared" si="4"/>
        <v>248756.65</v>
      </c>
    </row>
    <row r="41" spans="1:7" x14ac:dyDescent="0.25">
      <c r="A41" s="253" t="s">
        <v>22</v>
      </c>
      <c r="B41" s="253"/>
      <c r="C41" s="253"/>
      <c r="D41" s="16"/>
      <c r="E41" s="106">
        <f>SUM(E38:E40)</f>
        <v>7674.05</v>
      </c>
      <c r="F41" s="106">
        <f>SUM(F38:F40)</f>
        <v>367683.45</v>
      </c>
      <c r="G41" s="18">
        <f>SUM(G37:G39)</f>
        <v>126600.84999999999</v>
      </c>
    </row>
    <row r="42" spans="1:7" x14ac:dyDescent="0.25">
      <c r="A42" s="15">
        <v>4</v>
      </c>
      <c r="B42" s="254" t="s">
        <v>192</v>
      </c>
      <c r="C42" s="254"/>
      <c r="D42" s="254"/>
      <c r="E42" s="254"/>
      <c r="F42" s="254"/>
      <c r="G42" s="254"/>
    </row>
    <row r="43" spans="1:7" x14ac:dyDescent="0.25">
      <c r="A43" s="253" t="s">
        <v>22</v>
      </c>
      <c r="B43" s="253"/>
      <c r="C43" s="253"/>
      <c r="D43" s="16"/>
      <c r="E43" s="106">
        <v>0</v>
      </c>
      <c r="F43" s="106">
        <v>0</v>
      </c>
      <c r="G43" s="18">
        <v>0</v>
      </c>
    </row>
    <row r="44" spans="1:7" x14ac:dyDescent="0.25">
      <c r="A44" s="15">
        <v>5</v>
      </c>
      <c r="B44" s="267" t="s">
        <v>193</v>
      </c>
      <c r="C44" s="268"/>
      <c r="D44" s="268"/>
      <c r="E44" s="268"/>
      <c r="F44" s="268"/>
      <c r="G44" s="269"/>
    </row>
    <row r="45" spans="1:7" x14ac:dyDescent="0.25">
      <c r="A45" s="124" t="s">
        <v>32</v>
      </c>
      <c r="B45" s="33" t="s">
        <v>3</v>
      </c>
      <c r="C45" s="125" t="s">
        <v>19</v>
      </c>
      <c r="D45" s="124"/>
      <c r="E45" s="28">
        <v>0</v>
      </c>
      <c r="F45" s="28">
        <v>57367.85</v>
      </c>
      <c r="G45" s="28">
        <f>SUM(E45:F45)</f>
        <v>57367.85</v>
      </c>
    </row>
    <row r="46" spans="1:7" x14ac:dyDescent="0.25">
      <c r="A46" s="253" t="s">
        <v>22</v>
      </c>
      <c r="B46" s="253"/>
      <c r="C46" s="253"/>
      <c r="D46" s="16"/>
      <c r="E46" s="106">
        <f>E45</f>
        <v>0</v>
      </c>
      <c r="F46" s="106">
        <f>F45</f>
        <v>57367.85</v>
      </c>
      <c r="G46" s="18">
        <f>SUM(E46:F46)</f>
        <v>57367.85</v>
      </c>
    </row>
    <row r="47" spans="1:7" x14ac:dyDescent="0.25">
      <c r="A47" s="255" t="s">
        <v>1</v>
      </c>
      <c r="B47" s="255"/>
      <c r="C47" s="255"/>
      <c r="D47" s="255"/>
      <c r="E47" s="39">
        <f>E34+E36+E41+E43+E46</f>
        <v>38885.050000000003</v>
      </c>
      <c r="F47" s="39">
        <f>F34+F36+F41+F43+F46</f>
        <v>425051.3</v>
      </c>
      <c r="G47" s="39">
        <f>G34+G36+G41+G43+G46</f>
        <v>215179.69999999998</v>
      </c>
    </row>
    <row r="48" spans="1:7" x14ac:dyDescent="0.25">
      <c r="A48" s="10" t="s">
        <v>33</v>
      </c>
      <c r="B48" s="10"/>
      <c r="C48" s="11"/>
      <c r="D48" s="12"/>
      <c r="E48" s="108"/>
      <c r="F48" s="108"/>
      <c r="G48" s="108"/>
    </row>
    <row r="50" spans="1:7" x14ac:dyDescent="0.25">
      <c r="A50" s="258" t="s">
        <v>239</v>
      </c>
      <c r="B50" s="258"/>
      <c r="C50" s="258"/>
      <c r="D50" s="258"/>
      <c r="E50" s="258"/>
      <c r="F50" s="258"/>
      <c r="G50" s="258"/>
    </row>
    <row r="51" spans="1:7" ht="38.25" x14ac:dyDescent="0.25">
      <c r="A51" s="13" t="s">
        <v>27</v>
      </c>
      <c r="B51" s="13" t="s">
        <v>28</v>
      </c>
      <c r="C51" s="13" t="s">
        <v>29</v>
      </c>
      <c r="D51" s="13" t="s">
        <v>2</v>
      </c>
      <c r="E51" s="14" t="s">
        <v>231</v>
      </c>
      <c r="F51" s="14" t="s">
        <v>232</v>
      </c>
      <c r="G51" s="14" t="s">
        <v>233</v>
      </c>
    </row>
    <row r="52" spans="1:7" x14ac:dyDescent="0.25">
      <c r="A52" s="15">
        <v>1</v>
      </c>
      <c r="B52" s="254" t="s">
        <v>190</v>
      </c>
      <c r="C52" s="254"/>
      <c r="D52" s="254"/>
      <c r="E52" s="254"/>
      <c r="F52" s="254"/>
      <c r="G52" s="254"/>
    </row>
    <row r="53" spans="1:7" x14ac:dyDescent="0.25">
      <c r="A53" s="126" t="s">
        <v>48</v>
      </c>
      <c r="B53" s="52" t="s">
        <v>238</v>
      </c>
      <c r="C53" s="127" t="s">
        <v>64</v>
      </c>
      <c r="D53" s="126"/>
      <c r="E53" s="28">
        <f>71985+122280</f>
        <v>194265</v>
      </c>
      <c r="F53" s="28">
        <v>0</v>
      </c>
      <c r="G53" s="30">
        <f t="shared" ref="G53:G55" si="5">SUM(E53:F53)</f>
        <v>194265</v>
      </c>
    </row>
    <row r="54" spans="1:7" s="1" customFormat="1" x14ac:dyDescent="0.25">
      <c r="A54" s="126" t="s">
        <v>70</v>
      </c>
      <c r="B54" s="127" t="s">
        <v>241</v>
      </c>
      <c r="C54" s="127" t="s">
        <v>240</v>
      </c>
      <c r="D54" s="126"/>
      <c r="E54" s="28">
        <v>192390</v>
      </c>
      <c r="F54" s="28">
        <v>0</v>
      </c>
      <c r="G54" s="30">
        <f t="shared" si="5"/>
        <v>192390</v>
      </c>
    </row>
    <row r="55" spans="1:7" s="1" customFormat="1" x14ac:dyDescent="0.25">
      <c r="A55" s="126" t="s">
        <v>71</v>
      </c>
      <c r="B55" s="127" t="s">
        <v>243</v>
      </c>
      <c r="C55" s="127" t="s">
        <v>244</v>
      </c>
      <c r="D55" s="126"/>
      <c r="E55" s="28">
        <v>0</v>
      </c>
      <c r="F55" s="28">
        <v>97500</v>
      </c>
      <c r="G55" s="30">
        <f t="shared" si="5"/>
        <v>97500</v>
      </c>
    </row>
    <row r="56" spans="1:7" x14ac:dyDescent="0.25">
      <c r="A56" s="253" t="s">
        <v>22</v>
      </c>
      <c r="B56" s="253"/>
      <c r="C56" s="253"/>
      <c r="D56" s="16"/>
      <c r="E56" s="106">
        <f>SUM(E53:E54)</f>
        <v>386655</v>
      </c>
      <c r="F56" s="106">
        <f>SUM(F53:F54)</f>
        <v>0</v>
      </c>
      <c r="G56" s="106">
        <f>SUM(G53:G54)</f>
        <v>386655</v>
      </c>
    </row>
    <row r="57" spans="1:7" x14ac:dyDescent="0.25">
      <c r="A57" s="15">
        <v>2</v>
      </c>
      <c r="B57" s="254" t="s">
        <v>191</v>
      </c>
      <c r="C57" s="254"/>
      <c r="D57" s="254"/>
      <c r="E57" s="254"/>
      <c r="F57" s="254"/>
      <c r="G57" s="254"/>
    </row>
    <row r="58" spans="1:7" x14ac:dyDescent="0.25">
      <c r="A58" s="81" t="s">
        <v>22</v>
      </c>
      <c r="B58" s="82"/>
      <c r="C58" s="83"/>
      <c r="D58" s="16"/>
      <c r="E58" s="107">
        <f>0</f>
        <v>0</v>
      </c>
      <c r="F58" s="107">
        <f>0</f>
        <v>0</v>
      </c>
      <c r="G58" s="20">
        <f>G57</f>
        <v>0</v>
      </c>
    </row>
    <row r="59" spans="1:7" x14ac:dyDescent="0.25">
      <c r="A59" s="15">
        <v>3</v>
      </c>
      <c r="B59" s="254" t="s">
        <v>187</v>
      </c>
      <c r="C59" s="254"/>
      <c r="D59" s="254"/>
      <c r="E59" s="254"/>
      <c r="F59" s="254"/>
      <c r="G59" s="254"/>
    </row>
    <row r="60" spans="1:7" x14ac:dyDescent="0.25">
      <c r="A60" s="126" t="s">
        <v>4</v>
      </c>
      <c r="B60" s="33" t="s">
        <v>163</v>
      </c>
      <c r="C60" s="127" t="s">
        <v>164</v>
      </c>
      <c r="D60" s="126"/>
      <c r="E60" s="28">
        <v>0</v>
      </c>
      <c r="F60" s="28">
        <v>90309.6</v>
      </c>
      <c r="G60" s="30">
        <f t="shared" ref="G60:G61" si="6">SUM(E60:F60)</f>
        <v>90309.6</v>
      </c>
    </row>
    <row r="61" spans="1:7" x14ac:dyDescent="0.25">
      <c r="A61" s="126" t="s">
        <v>5</v>
      </c>
      <c r="B61" s="127" t="s">
        <v>74</v>
      </c>
      <c r="C61" s="127" t="s">
        <v>74</v>
      </c>
      <c r="D61" s="126"/>
      <c r="E61" s="28">
        <v>0</v>
      </c>
      <c r="F61" s="28">
        <f>20819.61+2277+627+141247.68+1230+59178.37+7319+14093.96</f>
        <v>246792.61999999997</v>
      </c>
      <c r="G61" s="30">
        <f t="shared" si="6"/>
        <v>246792.61999999997</v>
      </c>
    </row>
    <row r="62" spans="1:7" s="1" customFormat="1" x14ac:dyDescent="0.25">
      <c r="A62" s="126" t="s">
        <v>6</v>
      </c>
      <c r="B62" s="33" t="s">
        <v>163</v>
      </c>
      <c r="C62" s="127" t="s">
        <v>242</v>
      </c>
      <c r="D62" s="126"/>
      <c r="E62" s="28">
        <v>10626</v>
      </c>
      <c r="F62" s="28">
        <v>0</v>
      </c>
      <c r="G62" s="30">
        <f>SUM(E62:F62)</f>
        <v>10626</v>
      </c>
    </row>
    <row r="63" spans="1:7" x14ac:dyDescent="0.25">
      <c r="A63" s="253" t="s">
        <v>22</v>
      </c>
      <c r="B63" s="253"/>
      <c r="C63" s="253"/>
      <c r="D63" s="16"/>
      <c r="E63" s="106">
        <f>SUM(E60:E62)</f>
        <v>10626</v>
      </c>
      <c r="F63" s="106">
        <f>SUM(F60:F62)</f>
        <v>337102.22</v>
      </c>
      <c r="G63" s="18">
        <f>SUM(G60:G62)</f>
        <v>347728.22</v>
      </c>
    </row>
    <row r="64" spans="1:7" x14ac:dyDescent="0.25">
      <c r="A64" s="15">
        <v>4</v>
      </c>
      <c r="B64" s="254" t="s">
        <v>192</v>
      </c>
      <c r="C64" s="254"/>
      <c r="D64" s="254"/>
      <c r="E64" s="254"/>
      <c r="F64" s="254"/>
      <c r="G64" s="254"/>
    </row>
    <row r="65" spans="1:7" x14ac:dyDescent="0.25">
      <c r="A65" s="253" t="s">
        <v>22</v>
      </c>
      <c r="B65" s="253"/>
      <c r="C65" s="253"/>
      <c r="D65" s="16"/>
      <c r="E65" s="106">
        <v>0</v>
      </c>
      <c r="F65" s="106">
        <v>0</v>
      </c>
      <c r="G65" s="18">
        <v>0</v>
      </c>
    </row>
    <row r="66" spans="1:7" x14ac:dyDescent="0.25">
      <c r="A66" s="15">
        <v>5</v>
      </c>
      <c r="B66" s="267" t="s">
        <v>193</v>
      </c>
      <c r="C66" s="268"/>
      <c r="D66" s="268"/>
      <c r="E66" s="268"/>
      <c r="F66" s="268"/>
      <c r="G66" s="269"/>
    </row>
    <row r="67" spans="1:7" x14ac:dyDescent="0.25">
      <c r="A67" s="126" t="s">
        <v>32</v>
      </c>
      <c r="B67" s="33" t="s">
        <v>3</v>
      </c>
      <c r="C67" s="127" t="s">
        <v>19</v>
      </c>
      <c r="D67" s="126"/>
      <c r="E67" s="28">
        <v>0</v>
      </c>
      <c r="F67" s="28">
        <v>29521.82</v>
      </c>
      <c r="G67" s="28">
        <f>SUM(E67:F67)</f>
        <v>29521.82</v>
      </c>
    </row>
    <row r="68" spans="1:7" x14ac:dyDescent="0.25">
      <c r="A68" s="253" t="s">
        <v>22</v>
      </c>
      <c r="B68" s="253"/>
      <c r="C68" s="253"/>
      <c r="D68" s="16"/>
      <c r="E68" s="106">
        <f>E67</f>
        <v>0</v>
      </c>
      <c r="F68" s="106">
        <f>F67</f>
        <v>29521.82</v>
      </c>
      <c r="G68" s="18">
        <f>SUM(E68:F68)</f>
        <v>29521.82</v>
      </c>
    </row>
    <row r="69" spans="1:7" x14ac:dyDescent="0.25">
      <c r="A69" s="255" t="s">
        <v>1</v>
      </c>
      <c r="B69" s="255"/>
      <c r="C69" s="255"/>
      <c r="D69" s="255"/>
      <c r="E69" s="39">
        <f>E56+E58+E63+E65+E68</f>
        <v>397281</v>
      </c>
      <c r="F69" s="39">
        <f>F56+F58+F63+F65+F68</f>
        <v>366624.04</v>
      </c>
      <c r="G69" s="39">
        <f>G56+G58+G63+G65+G68</f>
        <v>763905.03999999992</v>
      </c>
    </row>
    <row r="70" spans="1:7" x14ac:dyDescent="0.25">
      <c r="A70" s="10" t="s">
        <v>33</v>
      </c>
      <c r="B70" s="10"/>
      <c r="C70" s="11"/>
      <c r="D70" s="12"/>
      <c r="E70" s="108"/>
      <c r="F70" s="108"/>
      <c r="G70" s="108"/>
    </row>
    <row r="72" spans="1:7" x14ac:dyDescent="0.25">
      <c r="A72" s="258" t="s">
        <v>245</v>
      </c>
      <c r="B72" s="258"/>
      <c r="C72" s="258"/>
      <c r="D72" s="258"/>
      <c r="E72" s="258"/>
      <c r="F72" s="258"/>
      <c r="G72" s="258"/>
    </row>
    <row r="73" spans="1:7" ht="38.25" x14ac:dyDescent="0.25">
      <c r="A73" s="13" t="s">
        <v>27</v>
      </c>
      <c r="B73" s="13" t="s">
        <v>28</v>
      </c>
      <c r="C73" s="13" t="s">
        <v>29</v>
      </c>
      <c r="D73" s="13" t="s">
        <v>2</v>
      </c>
      <c r="E73" s="14" t="s">
        <v>231</v>
      </c>
      <c r="F73" s="14" t="s">
        <v>232</v>
      </c>
      <c r="G73" s="14" t="s">
        <v>233</v>
      </c>
    </row>
    <row r="74" spans="1:7" x14ac:dyDescent="0.25">
      <c r="A74" s="15">
        <v>1</v>
      </c>
      <c r="B74" s="254" t="s">
        <v>190</v>
      </c>
      <c r="C74" s="254"/>
      <c r="D74" s="254"/>
      <c r="E74" s="254"/>
      <c r="F74" s="254"/>
      <c r="G74" s="254"/>
    </row>
    <row r="75" spans="1:7" x14ac:dyDescent="0.25">
      <c r="A75" s="128" t="s">
        <v>48</v>
      </c>
      <c r="B75" s="52" t="s">
        <v>246</v>
      </c>
      <c r="C75" s="129" t="s">
        <v>247</v>
      </c>
      <c r="D75" s="128"/>
      <c r="E75" s="28">
        <v>275000</v>
      </c>
      <c r="F75" s="28">
        <v>0</v>
      </c>
      <c r="G75" s="30">
        <f t="shared" ref="G75:G76" si="7">SUM(E75:F75)</f>
        <v>275000</v>
      </c>
    </row>
    <row r="76" spans="1:7" x14ac:dyDescent="0.25">
      <c r="A76" s="128" t="s">
        <v>70</v>
      </c>
      <c r="B76" s="129" t="s">
        <v>243</v>
      </c>
      <c r="C76" s="129" t="s">
        <v>248</v>
      </c>
      <c r="D76" s="128"/>
      <c r="E76" s="28">
        <v>0</v>
      </c>
      <c r="F76" s="28">
        <v>121250</v>
      </c>
      <c r="G76" s="30">
        <f t="shared" si="7"/>
        <v>121250</v>
      </c>
    </row>
    <row r="77" spans="1:7" x14ac:dyDescent="0.25">
      <c r="A77" s="253" t="s">
        <v>22</v>
      </c>
      <c r="B77" s="253"/>
      <c r="C77" s="253"/>
      <c r="D77" s="16"/>
      <c r="E77" s="106">
        <f>SUM(E75:E75)</f>
        <v>275000</v>
      </c>
      <c r="F77" s="106">
        <f>F75+F76</f>
        <v>121250</v>
      </c>
      <c r="G77" s="106">
        <f>SUM(G75:G75)</f>
        <v>275000</v>
      </c>
    </row>
    <row r="78" spans="1:7" x14ac:dyDescent="0.25">
      <c r="A78" s="15">
        <v>2</v>
      </c>
      <c r="B78" s="254" t="s">
        <v>191</v>
      </c>
      <c r="C78" s="254"/>
      <c r="D78" s="254"/>
      <c r="E78" s="254"/>
      <c r="F78" s="254"/>
      <c r="G78" s="254"/>
    </row>
    <row r="79" spans="1:7" x14ac:dyDescent="0.25">
      <c r="A79" s="81" t="s">
        <v>22</v>
      </c>
      <c r="B79" s="82"/>
      <c r="C79" s="83"/>
      <c r="D79" s="16"/>
      <c r="E79" s="107">
        <f>0</f>
        <v>0</v>
      </c>
      <c r="F79" s="107">
        <f>0</f>
        <v>0</v>
      </c>
      <c r="G79" s="20">
        <f>G78</f>
        <v>0</v>
      </c>
    </row>
    <row r="80" spans="1:7" x14ac:dyDescent="0.25">
      <c r="A80" s="15">
        <v>3</v>
      </c>
      <c r="B80" s="254" t="s">
        <v>187</v>
      </c>
      <c r="C80" s="254"/>
      <c r="D80" s="254"/>
      <c r="E80" s="254"/>
      <c r="F80" s="254"/>
      <c r="G80" s="254"/>
    </row>
    <row r="81" spans="1:7" x14ac:dyDescent="0.25">
      <c r="A81" s="128" t="s">
        <v>4</v>
      </c>
      <c r="B81" s="33" t="s">
        <v>163</v>
      </c>
      <c r="C81" s="129" t="s">
        <v>164</v>
      </c>
      <c r="D81" s="128"/>
      <c r="E81" s="28">
        <v>0</v>
      </c>
      <c r="F81" s="28">
        <v>102513.60000000001</v>
      </c>
      <c r="G81" s="30">
        <f t="shared" ref="G81:G82" si="8">SUM(E81:F81)</f>
        <v>102513.60000000001</v>
      </c>
    </row>
    <row r="82" spans="1:7" x14ac:dyDescent="0.25">
      <c r="A82" s="128" t="s">
        <v>5</v>
      </c>
      <c r="B82" s="129" t="s">
        <v>74</v>
      </c>
      <c r="C82" s="129" t="s">
        <v>74</v>
      </c>
      <c r="D82" s="128"/>
      <c r="E82" s="28">
        <v>0</v>
      </c>
      <c r="F82" s="28">
        <f>315+20568.84+2277+627+13485.8+7325+55579.15+4885.92+140730.1</f>
        <v>245793.81</v>
      </c>
      <c r="G82" s="30">
        <f t="shared" si="8"/>
        <v>245793.81</v>
      </c>
    </row>
    <row r="83" spans="1:7" x14ac:dyDescent="0.25">
      <c r="A83" s="253" t="s">
        <v>22</v>
      </c>
      <c r="B83" s="253"/>
      <c r="C83" s="253"/>
      <c r="D83" s="16"/>
      <c r="E83" s="106">
        <f>SUM(E81:E82)</f>
        <v>0</v>
      </c>
      <c r="F83" s="106">
        <f>SUM(F81:F82)</f>
        <v>348307.41000000003</v>
      </c>
      <c r="G83" s="18">
        <f>SUM(G81:G82)</f>
        <v>348307.41000000003</v>
      </c>
    </row>
    <row r="84" spans="1:7" x14ac:dyDescent="0.25">
      <c r="A84" s="15">
        <v>4</v>
      </c>
      <c r="B84" s="254" t="s">
        <v>192</v>
      </c>
      <c r="C84" s="254"/>
      <c r="D84" s="254"/>
      <c r="E84" s="254"/>
      <c r="F84" s="254"/>
      <c r="G84" s="254"/>
    </row>
    <row r="85" spans="1:7" x14ac:dyDescent="0.25">
      <c r="A85" s="253" t="s">
        <v>22</v>
      </c>
      <c r="B85" s="253"/>
      <c r="C85" s="253"/>
      <c r="D85" s="16"/>
      <c r="E85" s="106">
        <v>0</v>
      </c>
      <c r="F85" s="106">
        <v>0</v>
      </c>
      <c r="G85" s="18">
        <v>0</v>
      </c>
    </row>
    <row r="86" spans="1:7" x14ac:dyDescent="0.25">
      <c r="A86" s="15">
        <v>5</v>
      </c>
      <c r="B86" s="267" t="s">
        <v>193</v>
      </c>
      <c r="C86" s="268"/>
      <c r="D86" s="268"/>
      <c r="E86" s="268"/>
      <c r="F86" s="268"/>
      <c r="G86" s="269"/>
    </row>
    <row r="87" spans="1:7" x14ac:dyDescent="0.25">
      <c r="A87" s="128" t="s">
        <v>32</v>
      </c>
      <c r="B87" s="33" t="s">
        <v>3</v>
      </c>
      <c r="C87" s="129" t="s">
        <v>19</v>
      </c>
      <c r="D87" s="128"/>
      <c r="E87" s="28">
        <v>0</v>
      </c>
      <c r="F87" s="28">
        <v>22723.97</v>
      </c>
      <c r="G87" s="28">
        <f>SUM(E87:F87)</f>
        <v>22723.97</v>
      </c>
    </row>
    <row r="88" spans="1:7" x14ac:dyDescent="0.25">
      <c r="A88" s="253" t="s">
        <v>22</v>
      </c>
      <c r="B88" s="253"/>
      <c r="C88" s="253"/>
      <c r="D88" s="16"/>
      <c r="E88" s="106">
        <f>E87</f>
        <v>0</v>
      </c>
      <c r="F88" s="106">
        <f>F87</f>
        <v>22723.97</v>
      </c>
      <c r="G88" s="18">
        <f>SUM(E88:F88)</f>
        <v>22723.97</v>
      </c>
    </row>
    <row r="89" spans="1:7" x14ac:dyDescent="0.25">
      <c r="A89" s="255" t="s">
        <v>1</v>
      </c>
      <c r="B89" s="255"/>
      <c r="C89" s="255"/>
      <c r="D89" s="255"/>
      <c r="E89" s="39">
        <f>E77+E79+E83+E85+E88</f>
        <v>275000</v>
      </c>
      <c r="F89" s="39">
        <f>F77+F79+F83+F85+F88</f>
        <v>492281.38</v>
      </c>
      <c r="G89" s="39">
        <f>G77+G79+G83+G85+G88</f>
        <v>646031.38</v>
      </c>
    </row>
    <row r="90" spans="1:7" x14ac:dyDescent="0.25">
      <c r="A90" s="10" t="s">
        <v>33</v>
      </c>
      <c r="B90" s="10"/>
      <c r="C90" s="11"/>
      <c r="D90" s="12"/>
      <c r="E90" s="108"/>
      <c r="F90" s="108"/>
      <c r="G90" s="108"/>
    </row>
    <row r="92" spans="1:7" x14ac:dyDescent="0.25">
      <c r="A92" s="258" t="s">
        <v>249</v>
      </c>
      <c r="B92" s="258"/>
      <c r="C92" s="258"/>
      <c r="D92" s="258"/>
      <c r="E92" s="258"/>
      <c r="F92" s="258"/>
      <c r="G92" s="258"/>
    </row>
    <row r="93" spans="1:7" ht="38.25" x14ac:dyDescent="0.25">
      <c r="A93" s="13" t="s">
        <v>27</v>
      </c>
      <c r="B93" s="13" t="s">
        <v>28</v>
      </c>
      <c r="C93" s="13" t="s">
        <v>29</v>
      </c>
      <c r="D93" s="13" t="s">
        <v>2</v>
      </c>
      <c r="E93" s="14" t="s">
        <v>231</v>
      </c>
      <c r="F93" s="14" t="s">
        <v>232</v>
      </c>
      <c r="G93" s="14" t="s">
        <v>233</v>
      </c>
    </row>
    <row r="94" spans="1:7" x14ac:dyDescent="0.25">
      <c r="A94" s="15">
        <v>1</v>
      </c>
      <c r="B94" s="254" t="s">
        <v>190</v>
      </c>
      <c r="C94" s="254"/>
      <c r="D94" s="254"/>
      <c r="E94" s="254"/>
      <c r="F94" s="254"/>
      <c r="G94" s="254"/>
    </row>
    <row r="95" spans="1:7" x14ac:dyDescent="0.25">
      <c r="A95" s="130" t="s">
        <v>48</v>
      </c>
      <c r="B95" s="52" t="s">
        <v>246</v>
      </c>
      <c r="C95" s="131" t="s">
        <v>247</v>
      </c>
      <c r="D95" s="130"/>
      <c r="E95" s="28">
        <v>165000</v>
      </c>
      <c r="F95" s="28">
        <v>0</v>
      </c>
      <c r="G95" s="30">
        <f t="shared" ref="G95" si="9">SUM(E95:F95)</f>
        <v>165000</v>
      </c>
    </row>
    <row r="96" spans="1:7" x14ac:dyDescent="0.25">
      <c r="A96" s="253" t="s">
        <v>22</v>
      </c>
      <c r="B96" s="253"/>
      <c r="C96" s="253"/>
      <c r="D96" s="16"/>
      <c r="E96" s="106">
        <f>SUM(E95:E95)</f>
        <v>165000</v>
      </c>
      <c r="F96" s="106">
        <f>F95</f>
        <v>0</v>
      </c>
      <c r="G96" s="106">
        <f>SUM(G95:G95)</f>
        <v>165000</v>
      </c>
    </row>
    <row r="97" spans="1:7" x14ac:dyDescent="0.25">
      <c r="A97" s="15">
        <v>2</v>
      </c>
      <c r="B97" s="254" t="s">
        <v>191</v>
      </c>
      <c r="C97" s="254"/>
      <c r="D97" s="254"/>
      <c r="E97" s="254"/>
      <c r="F97" s="254"/>
      <c r="G97" s="254"/>
    </row>
    <row r="98" spans="1:7" x14ac:dyDescent="0.25">
      <c r="A98" s="81" t="s">
        <v>22</v>
      </c>
      <c r="B98" s="82"/>
      <c r="C98" s="83"/>
      <c r="D98" s="16"/>
      <c r="E98" s="107">
        <f>0</f>
        <v>0</v>
      </c>
      <c r="F98" s="107">
        <f>0</f>
        <v>0</v>
      </c>
      <c r="G98" s="20">
        <f>G97</f>
        <v>0</v>
      </c>
    </row>
    <row r="99" spans="1:7" x14ac:dyDescent="0.25">
      <c r="A99" s="15">
        <v>3</v>
      </c>
      <c r="B99" s="254" t="s">
        <v>187</v>
      </c>
      <c r="C99" s="254"/>
      <c r="D99" s="254"/>
      <c r="E99" s="254"/>
      <c r="F99" s="254"/>
      <c r="G99" s="254"/>
    </row>
    <row r="100" spans="1:7" x14ac:dyDescent="0.25">
      <c r="A100" s="130" t="s">
        <v>4</v>
      </c>
      <c r="B100" s="131" t="s">
        <v>74</v>
      </c>
      <c r="C100" s="131" t="s">
        <v>74</v>
      </c>
      <c r="D100" s="130"/>
      <c r="E100" s="28">
        <v>0</v>
      </c>
      <c r="F100" s="28">
        <f>20466.18+3888.19+661.58+2367.76+12876.06+7708.89+50574.99+7429.08+146926.55</f>
        <v>252899.27999999997</v>
      </c>
      <c r="G100" s="30">
        <f t="shared" ref="G100:G101" si="10">SUM(E100:F100)</f>
        <v>252899.27999999997</v>
      </c>
    </row>
    <row r="101" spans="1:7" s="1" customFormat="1" x14ac:dyDescent="0.25">
      <c r="A101" s="130" t="s">
        <v>5</v>
      </c>
      <c r="B101" s="33" t="s">
        <v>13</v>
      </c>
      <c r="C101" s="131" t="s">
        <v>189</v>
      </c>
      <c r="D101" s="130"/>
      <c r="E101" s="28">
        <v>0</v>
      </c>
      <c r="F101" s="28">
        <f>1617.7+16.85+1250.26+13.03+4011.36+41.79</f>
        <v>6950.9900000000007</v>
      </c>
      <c r="G101" s="30">
        <f t="shared" si="10"/>
        <v>6950.9900000000007</v>
      </c>
    </row>
    <row r="102" spans="1:7" x14ac:dyDescent="0.25">
      <c r="A102" s="253" t="s">
        <v>22</v>
      </c>
      <c r="B102" s="253"/>
      <c r="C102" s="253"/>
      <c r="D102" s="16"/>
      <c r="E102" s="106">
        <f>SUM(E100:E101)</f>
        <v>0</v>
      </c>
      <c r="F102" s="106">
        <f>SUM(F100:F101)</f>
        <v>259850.26999999996</v>
      </c>
      <c r="G102" s="18">
        <f>SUM(G100:G101)</f>
        <v>259850.26999999996</v>
      </c>
    </row>
    <row r="103" spans="1:7" x14ac:dyDescent="0.25">
      <c r="A103" s="15">
        <v>4</v>
      </c>
      <c r="B103" s="254" t="s">
        <v>192</v>
      </c>
      <c r="C103" s="254"/>
      <c r="D103" s="254"/>
      <c r="E103" s="254"/>
      <c r="F103" s="254"/>
      <c r="G103" s="254"/>
    </row>
    <row r="104" spans="1:7" x14ac:dyDescent="0.25">
      <c r="A104" s="253" t="s">
        <v>22</v>
      </c>
      <c r="B104" s="253"/>
      <c r="C104" s="253"/>
      <c r="D104" s="16"/>
      <c r="E104" s="106">
        <v>0</v>
      </c>
      <c r="F104" s="106">
        <v>0</v>
      </c>
      <c r="G104" s="18">
        <v>0</v>
      </c>
    </row>
    <row r="105" spans="1:7" x14ac:dyDescent="0.25">
      <c r="A105" s="15">
        <v>5</v>
      </c>
      <c r="B105" s="267" t="s">
        <v>193</v>
      </c>
      <c r="C105" s="268"/>
      <c r="D105" s="268"/>
      <c r="E105" s="268"/>
      <c r="F105" s="268"/>
      <c r="G105" s="269"/>
    </row>
    <row r="106" spans="1:7" x14ac:dyDescent="0.25">
      <c r="A106" s="130" t="s">
        <v>32</v>
      </c>
      <c r="B106" s="33" t="s">
        <v>3</v>
      </c>
      <c r="C106" s="131" t="s">
        <v>19</v>
      </c>
      <c r="D106" s="130"/>
      <c r="E106" s="28">
        <v>0</v>
      </c>
      <c r="F106" s="28">
        <f>38787.6+6663.72</f>
        <v>45451.32</v>
      </c>
      <c r="G106" s="28">
        <f>SUM(E106:F106)</f>
        <v>45451.32</v>
      </c>
    </row>
    <row r="107" spans="1:7" x14ac:dyDescent="0.25">
      <c r="A107" s="253" t="s">
        <v>22</v>
      </c>
      <c r="B107" s="253"/>
      <c r="C107" s="253"/>
      <c r="D107" s="16"/>
      <c r="E107" s="106">
        <f>E106</f>
        <v>0</v>
      </c>
      <c r="F107" s="106">
        <f>F106</f>
        <v>45451.32</v>
      </c>
      <c r="G107" s="18">
        <f>SUM(E107:F107)</f>
        <v>45451.32</v>
      </c>
    </row>
    <row r="108" spans="1:7" x14ac:dyDescent="0.25">
      <c r="A108" s="255" t="s">
        <v>1</v>
      </c>
      <c r="B108" s="255"/>
      <c r="C108" s="255"/>
      <c r="D108" s="255"/>
      <c r="E108" s="39">
        <f>E96+E98+E102+E104+E107</f>
        <v>165000</v>
      </c>
      <c r="F108" s="39">
        <f>F96+F98+F102+F104+F107</f>
        <v>305301.58999999997</v>
      </c>
      <c r="G108" s="39">
        <f>G96+G98+G102+G104+G107</f>
        <v>470301.58999999997</v>
      </c>
    </row>
    <row r="109" spans="1:7" x14ac:dyDescent="0.25">
      <c r="A109" s="10" t="s">
        <v>33</v>
      </c>
      <c r="B109" s="10"/>
      <c r="C109" s="11"/>
      <c r="D109" s="12"/>
      <c r="E109" s="108"/>
      <c r="F109" s="108"/>
      <c r="G109" s="108"/>
    </row>
    <row r="111" spans="1:7" x14ac:dyDescent="0.25">
      <c r="A111" s="258" t="s">
        <v>250</v>
      </c>
      <c r="B111" s="258"/>
      <c r="C111" s="258"/>
      <c r="D111" s="258"/>
      <c r="E111" s="258"/>
      <c r="F111" s="258"/>
      <c r="G111" s="258"/>
    </row>
    <row r="112" spans="1:7" ht="38.25" x14ac:dyDescent="0.25">
      <c r="A112" s="13" t="s">
        <v>27</v>
      </c>
      <c r="B112" s="13" t="s">
        <v>28</v>
      </c>
      <c r="C112" s="13" t="s">
        <v>29</v>
      </c>
      <c r="D112" s="13" t="s">
        <v>2</v>
      </c>
      <c r="E112" s="14" t="s">
        <v>231</v>
      </c>
      <c r="F112" s="14" t="s">
        <v>232</v>
      </c>
      <c r="G112" s="14" t="s">
        <v>233</v>
      </c>
    </row>
    <row r="113" spans="1:7" x14ac:dyDescent="0.25">
      <c r="A113" s="15">
        <v>1</v>
      </c>
      <c r="B113" s="254" t="s">
        <v>190</v>
      </c>
      <c r="C113" s="254"/>
      <c r="D113" s="254"/>
      <c r="E113" s="254"/>
      <c r="F113" s="254"/>
      <c r="G113" s="254"/>
    </row>
    <row r="114" spans="1:7" x14ac:dyDescent="0.25">
      <c r="A114" s="132" t="s">
        <v>48</v>
      </c>
      <c r="B114" s="52" t="s">
        <v>252</v>
      </c>
      <c r="C114" s="133" t="s">
        <v>251</v>
      </c>
      <c r="D114" s="132"/>
      <c r="E114" s="28">
        <v>0</v>
      </c>
      <c r="F114" s="28">
        <v>3750</v>
      </c>
      <c r="G114" s="30">
        <f t="shared" ref="G114" si="11">SUM(E114:F114)</f>
        <v>3750</v>
      </c>
    </row>
    <row r="115" spans="1:7" x14ac:dyDescent="0.25">
      <c r="A115" s="253" t="s">
        <v>22</v>
      </c>
      <c r="B115" s="253"/>
      <c r="C115" s="253"/>
      <c r="D115" s="16"/>
      <c r="E115" s="106">
        <f>SUM(E114:E114)</f>
        <v>0</v>
      </c>
      <c r="F115" s="106">
        <f>F114</f>
        <v>3750</v>
      </c>
      <c r="G115" s="106">
        <f>SUM(G114:G114)</f>
        <v>3750</v>
      </c>
    </row>
    <row r="116" spans="1:7" x14ac:dyDescent="0.25">
      <c r="A116" s="15">
        <v>2</v>
      </c>
      <c r="B116" s="254" t="s">
        <v>191</v>
      </c>
      <c r="C116" s="254"/>
      <c r="D116" s="254"/>
      <c r="E116" s="254"/>
      <c r="F116" s="254"/>
      <c r="G116" s="254"/>
    </row>
    <row r="117" spans="1:7" x14ac:dyDescent="0.25">
      <c r="A117" s="81" t="s">
        <v>22</v>
      </c>
      <c r="B117" s="82"/>
      <c r="C117" s="83"/>
      <c r="D117" s="16"/>
      <c r="E117" s="107">
        <f>0</f>
        <v>0</v>
      </c>
      <c r="F117" s="107">
        <f>0</f>
        <v>0</v>
      </c>
      <c r="G117" s="20">
        <f>G116</f>
        <v>0</v>
      </c>
    </row>
    <row r="118" spans="1:7" x14ac:dyDescent="0.25">
      <c r="A118" s="15">
        <v>3</v>
      </c>
      <c r="B118" s="254" t="s">
        <v>187</v>
      </c>
      <c r="C118" s="254"/>
      <c r="D118" s="254"/>
      <c r="E118" s="254"/>
      <c r="F118" s="254"/>
      <c r="G118" s="254"/>
    </row>
    <row r="119" spans="1:7" x14ac:dyDescent="0.25">
      <c r="A119" s="132" t="s">
        <v>4</v>
      </c>
      <c r="B119" s="133" t="s">
        <v>74</v>
      </c>
      <c r="C119" s="133" t="s">
        <v>74</v>
      </c>
      <c r="D119" s="132"/>
      <c r="E119" s="28">
        <v>0</v>
      </c>
      <c r="F119" s="28">
        <f>267225.35</f>
        <v>267225.34999999998</v>
      </c>
      <c r="G119" s="30">
        <f t="shared" ref="G119" si="12">SUM(E119:F119)</f>
        <v>267225.34999999998</v>
      </c>
    </row>
    <row r="120" spans="1:7" x14ac:dyDescent="0.25">
      <c r="A120" s="253" t="s">
        <v>22</v>
      </c>
      <c r="B120" s="253"/>
      <c r="C120" s="253"/>
      <c r="D120" s="16"/>
      <c r="E120" s="106">
        <f>SUM(E119:E119)</f>
        <v>0</v>
      </c>
      <c r="F120" s="106">
        <f>SUM(F119:F119)</f>
        <v>267225.34999999998</v>
      </c>
      <c r="G120" s="18">
        <f>SUM(G119:G119)</f>
        <v>267225.34999999998</v>
      </c>
    </row>
    <row r="121" spans="1:7" x14ac:dyDescent="0.25">
      <c r="A121" s="15">
        <v>4</v>
      </c>
      <c r="B121" s="254" t="s">
        <v>192</v>
      </c>
      <c r="C121" s="254"/>
      <c r="D121" s="254"/>
      <c r="E121" s="254"/>
      <c r="F121" s="254"/>
      <c r="G121" s="254"/>
    </row>
    <row r="122" spans="1:7" x14ac:dyDescent="0.25">
      <c r="A122" s="253" t="s">
        <v>22</v>
      </c>
      <c r="B122" s="253"/>
      <c r="C122" s="253"/>
      <c r="D122" s="16"/>
      <c r="E122" s="106">
        <v>0</v>
      </c>
      <c r="F122" s="106">
        <v>0</v>
      </c>
      <c r="G122" s="18">
        <v>0</v>
      </c>
    </row>
    <row r="123" spans="1:7" x14ac:dyDescent="0.25">
      <c r="A123" s="15">
        <v>5</v>
      </c>
      <c r="B123" s="267" t="s">
        <v>193</v>
      </c>
      <c r="C123" s="268"/>
      <c r="D123" s="268"/>
      <c r="E123" s="268"/>
      <c r="F123" s="268"/>
      <c r="G123" s="269"/>
    </row>
    <row r="124" spans="1:7" x14ac:dyDescent="0.25">
      <c r="A124" s="132" t="s">
        <v>32</v>
      </c>
      <c r="B124" s="33" t="s">
        <v>3</v>
      </c>
      <c r="C124" s="133" t="s">
        <v>19</v>
      </c>
      <c r="D124" s="132"/>
      <c r="E124" s="28">
        <v>0</v>
      </c>
      <c r="F124" s="28">
        <v>66635.5</v>
      </c>
      <c r="G124" s="28">
        <f>SUM(E124:F124)</f>
        <v>66635.5</v>
      </c>
    </row>
    <row r="125" spans="1:7" x14ac:dyDescent="0.25">
      <c r="A125" s="253" t="s">
        <v>22</v>
      </c>
      <c r="B125" s="253"/>
      <c r="C125" s="253"/>
      <c r="D125" s="16"/>
      <c r="E125" s="106">
        <f>E124</f>
        <v>0</v>
      </c>
      <c r="F125" s="106">
        <f>F124</f>
        <v>66635.5</v>
      </c>
      <c r="G125" s="18">
        <f>SUM(E125:F125)</f>
        <v>66635.5</v>
      </c>
    </row>
    <row r="126" spans="1:7" x14ac:dyDescent="0.25">
      <c r="A126" s="255" t="s">
        <v>1</v>
      </c>
      <c r="B126" s="255"/>
      <c r="C126" s="255"/>
      <c r="D126" s="255"/>
      <c r="E126" s="39">
        <f>E115+E117+E120+E122+E125</f>
        <v>0</v>
      </c>
      <c r="F126" s="39">
        <f>F115+F117+F120+F122+F125</f>
        <v>337610.85</v>
      </c>
      <c r="G126" s="39">
        <f>G115+G117+G120+G122+G125</f>
        <v>337610.85</v>
      </c>
    </row>
    <row r="127" spans="1:7" x14ac:dyDescent="0.25">
      <c r="A127" s="10" t="s">
        <v>33</v>
      </c>
      <c r="B127" s="10"/>
      <c r="C127" s="11"/>
      <c r="D127" s="12"/>
      <c r="E127" s="108"/>
      <c r="F127" s="108"/>
      <c r="G127" s="108"/>
    </row>
    <row r="129" spans="1:7" x14ac:dyDescent="0.25">
      <c r="A129" s="258" t="s">
        <v>253</v>
      </c>
      <c r="B129" s="258"/>
      <c r="C129" s="258"/>
      <c r="D129" s="258"/>
      <c r="E129" s="258"/>
      <c r="F129" s="258"/>
      <c r="G129" s="258"/>
    </row>
    <row r="130" spans="1:7" ht="38.25" x14ac:dyDescent="0.25">
      <c r="A130" s="13" t="s">
        <v>27</v>
      </c>
      <c r="B130" s="13" t="s">
        <v>28</v>
      </c>
      <c r="C130" s="13" t="s">
        <v>29</v>
      </c>
      <c r="D130" s="13" t="s">
        <v>2</v>
      </c>
      <c r="E130" s="14" t="s">
        <v>231</v>
      </c>
      <c r="F130" s="14" t="s">
        <v>232</v>
      </c>
      <c r="G130" s="14" t="s">
        <v>233</v>
      </c>
    </row>
    <row r="131" spans="1:7" x14ac:dyDescent="0.25">
      <c r="A131" s="15">
        <v>1</v>
      </c>
      <c r="B131" s="254" t="s">
        <v>190</v>
      </c>
      <c r="C131" s="254"/>
      <c r="D131" s="254"/>
      <c r="E131" s="254"/>
      <c r="F131" s="254"/>
      <c r="G131" s="254"/>
    </row>
    <row r="132" spans="1:7" x14ac:dyDescent="0.25">
      <c r="A132" s="134" t="s">
        <v>48</v>
      </c>
      <c r="B132" s="52" t="s">
        <v>252</v>
      </c>
      <c r="C132" s="135" t="s">
        <v>254</v>
      </c>
      <c r="D132" s="134"/>
      <c r="E132" s="28">
        <v>0</v>
      </c>
      <c r="F132" s="28">
        <v>40000</v>
      </c>
      <c r="G132" s="30">
        <f t="shared" ref="G132:G133" si="13">SUM(E132:F132)</f>
        <v>40000</v>
      </c>
    </row>
    <row r="133" spans="1:7" s="1" customFormat="1" x14ac:dyDescent="0.25">
      <c r="A133" s="134" t="s">
        <v>70</v>
      </c>
      <c r="B133" s="52" t="s">
        <v>255</v>
      </c>
      <c r="C133" s="135" t="s">
        <v>64</v>
      </c>
      <c r="D133" s="134"/>
      <c r="E133" s="28">
        <v>0</v>
      </c>
      <c r="F133" s="28">
        <v>655520</v>
      </c>
      <c r="G133" s="30">
        <f t="shared" si="13"/>
        <v>655520</v>
      </c>
    </row>
    <row r="134" spans="1:7" x14ac:dyDescent="0.25">
      <c r="A134" s="253" t="s">
        <v>22</v>
      </c>
      <c r="B134" s="253"/>
      <c r="C134" s="253"/>
      <c r="D134" s="16"/>
      <c r="E134" s="106">
        <f>SUM(E132:E133)</f>
        <v>0</v>
      </c>
      <c r="F134" s="106">
        <f>SUM(F132:F133)</f>
        <v>695520</v>
      </c>
      <c r="G134" s="106">
        <f>SUM(G132:G133)</f>
        <v>695520</v>
      </c>
    </row>
    <row r="135" spans="1:7" x14ac:dyDescent="0.25">
      <c r="A135" s="15">
        <v>2</v>
      </c>
      <c r="B135" s="254" t="s">
        <v>191</v>
      </c>
      <c r="C135" s="254"/>
      <c r="D135" s="254"/>
      <c r="E135" s="254"/>
      <c r="F135" s="254"/>
      <c r="G135" s="254"/>
    </row>
    <row r="136" spans="1:7" x14ac:dyDescent="0.25">
      <c r="A136" s="81" t="s">
        <v>22</v>
      </c>
      <c r="B136" s="82"/>
      <c r="C136" s="83"/>
      <c r="D136" s="16"/>
      <c r="E136" s="107">
        <f>0</f>
        <v>0</v>
      </c>
      <c r="F136" s="107">
        <f>0</f>
        <v>0</v>
      </c>
      <c r="G136" s="20">
        <f>G135</f>
        <v>0</v>
      </c>
    </row>
    <row r="137" spans="1:7" x14ac:dyDescent="0.25">
      <c r="A137" s="15">
        <v>3</v>
      </c>
      <c r="B137" s="254" t="s">
        <v>187</v>
      </c>
      <c r="C137" s="254"/>
      <c r="D137" s="254"/>
      <c r="E137" s="254"/>
      <c r="F137" s="254"/>
      <c r="G137" s="254"/>
    </row>
    <row r="138" spans="1:7" x14ac:dyDescent="0.25">
      <c r="A138" s="134" t="s">
        <v>4</v>
      </c>
      <c r="B138" s="135" t="s">
        <v>74</v>
      </c>
      <c r="C138" s="135" t="s">
        <v>74</v>
      </c>
      <c r="D138" s="134"/>
      <c r="E138" s="28">
        <v>0</v>
      </c>
      <c r="F138" s="28">
        <f>21373.73+2402.58+626.76+50470.03+7429.08+147207.89+11042.5+7708.9</f>
        <v>248261.47</v>
      </c>
      <c r="G138" s="30">
        <f t="shared" ref="G138" si="14">SUM(E138:F138)</f>
        <v>248261.47</v>
      </c>
    </row>
    <row r="139" spans="1:7" s="1" customFormat="1" x14ac:dyDescent="0.25">
      <c r="A139" s="134" t="s">
        <v>5</v>
      </c>
      <c r="B139" s="33" t="s">
        <v>13</v>
      </c>
      <c r="C139" s="135" t="s">
        <v>189</v>
      </c>
      <c r="D139" s="134"/>
      <c r="E139" s="28">
        <v>0</v>
      </c>
      <c r="F139" s="28">
        <f>5736.89+59.77+6577.42+68.53</f>
        <v>12442.610000000002</v>
      </c>
      <c r="G139" s="30">
        <f t="shared" ref="G139:G140" si="15">SUM(E139:F139)</f>
        <v>12442.610000000002</v>
      </c>
    </row>
    <row r="140" spans="1:7" s="1" customFormat="1" x14ac:dyDescent="0.25">
      <c r="A140" s="134" t="s">
        <v>6</v>
      </c>
      <c r="B140" s="135" t="s">
        <v>256</v>
      </c>
      <c r="C140" s="135" t="s">
        <v>86</v>
      </c>
      <c r="D140" s="134"/>
      <c r="E140" s="28">
        <v>0</v>
      </c>
      <c r="F140" s="28">
        <f>56199.99+66359.82+65321.37+65321.37+58276.89+64282.92+65321.37+65321.37</f>
        <v>506405.1</v>
      </c>
      <c r="G140" s="30">
        <f t="shared" si="15"/>
        <v>506405.1</v>
      </c>
    </row>
    <row r="141" spans="1:7" x14ac:dyDescent="0.25">
      <c r="A141" s="253" t="s">
        <v>22</v>
      </c>
      <c r="B141" s="253"/>
      <c r="C141" s="253"/>
      <c r="D141" s="16"/>
      <c r="E141" s="106">
        <f>SUM(E138:E140)</f>
        <v>0</v>
      </c>
      <c r="F141" s="106">
        <f>SUM(F138:F140)</f>
        <v>767109.17999999993</v>
      </c>
      <c r="G141" s="18">
        <f>SUM(G138:G140)</f>
        <v>767109.17999999993</v>
      </c>
    </row>
    <row r="142" spans="1:7" x14ac:dyDescent="0.25">
      <c r="A142" s="15">
        <v>4</v>
      </c>
      <c r="B142" s="254" t="s">
        <v>192</v>
      </c>
      <c r="C142" s="254"/>
      <c r="D142" s="254"/>
      <c r="E142" s="254"/>
      <c r="F142" s="254"/>
      <c r="G142" s="254"/>
    </row>
    <row r="143" spans="1:7" x14ac:dyDescent="0.25">
      <c r="A143" s="253" t="s">
        <v>22</v>
      </c>
      <c r="B143" s="253"/>
      <c r="C143" s="253"/>
      <c r="D143" s="16"/>
      <c r="E143" s="106">
        <v>0</v>
      </c>
      <c r="F143" s="106">
        <v>0</v>
      </c>
      <c r="G143" s="18">
        <v>0</v>
      </c>
    </row>
    <row r="144" spans="1:7" x14ac:dyDescent="0.25">
      <c r="A144" s="15">
        <v>5</v>
      </c>
      <c r="B144" s="267" t="s">
        <v>193</v>
      </c>
      <c r="C144" s="268"/>
      <c r="D144" s="268"/>
      <c r="E144" s="268"/>
      <c r="F144" s="268"/>
      <c r="G144" s="269"/>
    </row>
    <row r="145" spans="1:7" x14ac:dyDescent="0.25">
      <c r="A145" s="134" t="s">
        <v>32</v>
      </c>
      <c r="B145" s="33" t="s">
        <v>3</v>
      </c>
      <c r="C145" s="135" t="s">
        <v>19</v>
      </c>
      <c r="D145" s="134"/>
      <c r="E145" s="28">
        <v>0</v>
      </c>
      <c r="F145" s="28">
        <f>9953.27+57735.03</f>
        <v>67688.3</v>
      </c>
      <c r="G145" s="28">
        <f>SUM(E145:F145)</f>
        <v>67688.3</v>
      </c>
    </row>
    <row r="146" spans="1:7" x14ac:dyDescent="0.25">
      <c r="A146" s="253" t="s">
        <v>22</v>
      </c>
      <c r="B146" s="253"/>
      <c r="C146" s="253"/>
      <c r="D146" s="16"/>
      <c r="E146" s="106">
        <f>E145</f>
        <v>0</v>
      </c>
      <c r="F146" s="106">
        <f>F145</f>
        <v>67688.3</v>
      </c>
      <c r="G146" s="18">
        <f>SUM(E146:F146)</f>
        <v>67688.3</v>
      </c>
    </row>
    <row r="147" spans="1:7" x14ac:dyDescent="0.25">
      <c r="A147" s="255" t="s">
        <v>1</v>
      </c>
      <c r="B147" s="255"/>
      <c r="C147" s="255"/>
      <c r="D147" s="255"/>
      <c r="E147" s="39">
        <f>E134+E136+E141+E143+E146</f>
        <v>0</v>
      </c>
      <c r="F147" s="39">
        <f>F134+F136+F141+F143+F146</f>
        <v>1530317.48</v>
      </c>
      <c r="G147" s="39">
        <f>G134+G136+G141+G143+G146</f>
        <v>1530317.48</v>
      </c>
    </row>
    <row r="148" spans="1:7" x14ac:dyDescent="0.25">
      <c r="A148" s="10" t="s">
        <v>33</v>
      </c>
      <c r="B148" s="10"/>
      <c r="C148" s="11"/>
      <c r="D148" s="12"/>
      <c r="E148" s="108"/>
      <c r="F148" s="108"/>
      <c r="G148" s="108"/>
    </row>
    <row r="150" spans="1:7" x14ac:dyDescent="0.25">
      <c r="A150" s="258" t="s">
        <v>257</v>
      </c>
      <c r="B150" s="258"/>
      <c r="C150" s="258"/>
      <c r="D150" s="258"/>
      <c r="E150" s="258"/>
      <c r="F150" s="258"/>
      <c r="G150" s="258"/>
    </row>
    <row r="151" spans="1:7" ht="38.25" x14ac:dyDescent="0.25">
      <c r="A151" s="13" t="s">
        <v>27</v>
      </c>
      <c r="B151" s="13" t="s">
        <v>28</v>
      </c>
      <c r="C151" s="13" t="s">
        <v>29</v>
      </c>
      <c r="D151" s="13" t="s">
        <v>2</v>
      </c>
      <c r="E151" s="14" t="s">
        <v>231</v>
      </c>
      <c r="F151" s="14" t="s">
        <v>232</v>
      </c>
      <c r="G151" s="14" t="s">
        <v>233</v>
      </c>
    </row>
    <row r="152" spans="1:7" x14ac:dyDescent="0.25">
      <c r="A152" s="15">
        <v>1</v>
      </c>
      <c r="B152" s="254" t="s">
        <v>190</v>
      </c>
      <c r="C152" s="254"/>
      <c r="D152" s="254"/>
      <c r="E152" s="254"/>
      <c r="F152" s="254"/>
      <c r="G152" s="254"/>
    </row>
    <row r="153" spans="1:7" x14ac:dyDescent="0.25">
      <c r="A153" s="136" t="s">
        <v>48</v>
      </c>
      <c r="B153" s="52" t="s">
        <v>260</v>
      </c>
      <c r="C153" s="137" t="s">
        <v>143</v>
      </c>
      <c r="D153" s="136"/>
      <c r="E153" s="28">
        <v>716402</v>
      </c>
      <c r="F153" s="28">
        <v>0</v>
      </c>
      <c r="G153" s="30">
        <f t="shared" ref="G153" si="16">SUM(E153:F153)</f>
        <v>716402</v>
      </c>
    </row>
    <row r="154" spans="1:7" x14ac:dyDescent="0.25">
      <c r="A154" s="253" t="s">
        <v>22</v>
      </c>
      <c r="B154" s="253"/>
      <c r="C154" s="253"/>
      <c r="D154" s="16"/>
      <c r="E154" s="106">
        <f>SUM(E153:E153)</f>
        <v>716402</v>
      </c>
      <c r="F154" s="106">
        <f>SUM(F153:F153)</f>
        <v>0</v>
      </c>
      <c r="G154" s="106">
        <f>SUM(G153:G153)</f>
        <v>716402</v>
      </c>
    </row>
    <row r="155" spans="1:7" x14ac:dyDescent="0.25">
      <c r="A155" s="15">
        <v>2</v>
      </c>
      <c r="B155" s="254" t="s">
        <v>191</v>
      </c>
      <c r="C155" s="254"/>
      <c r="D155" s="254"/>
      <c r="E155" s="254"/>
      <c r="F155" s="254"/>
      <c r="G155" s="254"/>
    </row>
    <row r="156" spans="1:7" x14ac:dyDescent="0.25">
      <c r="A156" s="81" t="s">
        <v>22</v>
      </c>
      <c r="B156" s="82"/>
      <c r="C156" s="83"/>
      <c r="D156" s="16"/>
      <c r="E156" s="107">
        <f>0</f>
        <v>0</v>
      </c>
      <c r="F156" s="107">
        <f>0</f>
        <v>0</v>
      </c>
      <c r="G156" s="20">
        <f>G155</f>
        <v>0</v>
      </c>
    </row>
    <row r="157" spans="1:7" x14ac:dyDescent="0.25">
      <c r="A157" s="15">
        <v>3</v>
      </c>
      <c r="B157" s="254" t="s">
        <v>187</v>
      </c>
      <c r="C157" s="254"/>
      <c r="D157" s="254"/>
      <c r="E157" s="254"/>
      <c r="F157" s="254"/>
      <c r="G157" s="254"/>
    </row>
    <row r="158" spans="1:7" x14ac:dyDescent="0.25">
      <c r="A158" s="136" t="s">
        <v>4</v>
      </c>
      <c r="B158" s="137" t="s">
        <v>74</v>
      </c>
      <c r="C158" s="137" t="s">
        <v>74</v>
      </c>
      <c r="D158" s="136"/>
      <c r="E158" s="28">
        <v>0</v>
      </c>
      <c r="F158" s="28">
        <v>257324.89</v>
      </c>
      <c r="G158" s="30">
        <f t="shared" ref="G158" si="17">SUM(E158:F158)</f>
        <v>257324.89</v>
      </c>
    </row>
    <row r="159" spans="1:7" x14ac:dyDescent="0.25">
      <c r="A159" s="136" t="s">
        <v>5</v>
      </c>
      <c r="B159" s="33" t="s">
        <v>13</v>
      </c>
      <c r="C159" s="137" t="s">
        <v>189</v>
      </c>
      <c r="D159" s="136"/>
      <c r="E159" s="28">
        <v>0</v>
      </c>
      <c r="F159" s="28">
        <f>7783.2+81.09+39.59+0.41</f>
        <v>7904.29</v>
      </c>
      <c r="G159" s="30">
        <f t="shared" ref="G159:G162" si="18">SUM(E159:F159)</f>
        <v>7904.29</v>
      </c>
    </row>
    <row r="160" spans="1:7" x14ac:dyDescent="0.25">
      <c r="A160" s="136" t="s">
        <v>6</v>
      </c>
      <c r="B160" s="137" t="s">
        <v>256</v>
      </c>
      <c r="C160" s="137" t="s">
        <v>86</v>
      </c>
      <c r="D160" s="136"/>
      <c r="E160" s="28">
        <v>0</v>
      </c>
      <c r="F160" s="28">
        <v>30110</v>
      </c>
      <c r="G160" s="30">
        <f t="shared" si="18"/>
        <v>30110</v>
      </c>
    </row>
    <row r="161" spans="1:7" s="1" customFormat="1" x14ac:dyDescent="0.25">
      <c r="A161" s="274" t="s">
        <v>18</v>
      </c>
      <c r="B161" s="272" t="s">
        <v>44</v>
      </c>
      <c r="C161" s="137" t="s">
        <v>258</v>
      </c>
      <c r="D161" s="136"/>
      <c r="E161" s="28">
        <v>0</v>
      </c>
      <c r="F161" s="28">
        <f>180070+9915</f>
        <v>189985</v>
      </c>
      <c r="G161" s="30">
        <f t="shared" si="18"/>
        <v>189985</v>
      </c>
    </row>
    <row r="162" spans="1:7" s="1" customFormat="1" x14ac:dyDescent="0.25">
      <c r="A162" s="275"/>
      <c r="B162" s="273"/>
      <c r="C162" s="137" t="s">
        <v>259</v>
      </c>
      <c r="D162" s="136"/>
      <c r="E162" s="28">
        <v>0</v>
      </c>
      <c r="F162" s="28">
        <v>5014.12</v>
      </c>
      <c r="G162" s="30">
        <f t="shared" si="18"/>
        <v>5014.12</v>
      </c>
    </row>
    <row r="163" spans="1:7" x14ac:dyDescent="0.25">
      <c r="A163" s="253" t="s">
        <v>22</v>
      </c>
      <c r="B163" s="253"/>
      <c r="C163" s="253"/>
      <c r="D163" s="16"/>
      <c r="E163" s="106">
        <f>SUM(E158:E162)</f>
        <v>0</v>
      </c>
      <c r="F163" s="106">
        <f>SUM(F158:F162)</f>
        <v>490338.3</v>
      </c>
      <c r="G163" s="18">
        <f>SUM(G158:G162)</f>
        <v>490338.3</v>
      </c>
    </row>
    <row r="164" spans="1:7" x14ac:dyDescent="0.25">
      <c r="A164" s="15">
        <v>4</v>
      </c>
      <c r="B164" s="254" t="s">
        <v>192</v>
      </c>
      <c r="C164" s="254"/>
      <c r="D164" s="254"/>
      <c r="E164" s="254"/>
      <c r="F164" s="254"/>
      <c r="G164" s="254"/>
    </row>
    <row r="165" spans="1:7" x14ac:dyDescent="0.25">
      <c r="A165" s="253" t="s">
        <v>22</v>
      </c>
      <c r="B165" s="253"/>
      <c r="C165" s="253"/>
      <c r="D165" s="16"/>
      <c r="E165" s="106">
        <v>0</v>
      </c>
      <c r="F165" s="106">
        <v>0</v>
      </c>
      <c r="G165" s="18">
        <v>0</v>
      </c>
    </row>
    <row r="166" spans="1:7" x14ac:dyDescent="0.25">
      <c r="A166" s="15">
        <v>5</v>
      </c>
      <c r="B166" s="267" t="s">
        <v>193</v>
      </c>
      <c r="C166" s="268"/>
      <c r="D166" s="268"/>
      <c r="E166" s="268"/>
      <c r="F166" s="268"/>
      <c r="G166" s="269"/>
    </row>
    <row r="167" spans="1:7" x14ac:dyDescent="0.25">
      <c r="A167" s="136" t="s">
        <v>32</v>
      </c>
      <c r="B167" s="33" t="s">
        <v>3</v>
      </c>
      <c r="C167" s="137" t="s">
        <v>19</v>
      </c>
      <c r="D167" s="136"/>
      <c r="E167" s="28">
        <v>0</v>
      </c>
      <c r="F167" s="28">
        <f>9729.86+74905.13</f>
        <v>84634.99</v>
      </c>
      <c r="G167" s="28">
        <f>SUM(E167:F167)</f>
        <v>84634.99</v>
      </c>
    </row>
    <row r="168" spans="1:7" x14ac:dyDescent="0.25">
      <c r="A168" s="253" t="s">
        <v>22</v>
      </c>
      <c r="B168" s="253"/>
      <c r="C168" s="253"/>
      <c r="D168" s="16"/>
      <c r="E168" s="106">
        <f>E167</f>
        <v>0</v>
      </c>
      <c r="F168" s="106">
        <f>F167</f>
        <v>84634.99</v>
      </c>
      <c r="G168" s="18">
        <f>SUM(E168:F168)</f>
        <v>84634.99</v>
      </c>
    </row>
    <row r="169" spans="1:7" x14ac:dyDescent="0.25">
      <c r="A169" s="255" t="s">
        <v>1</v>
      </c>
      <c r="B169" s="255"/>
      <c r="C169" s="255"/>
      <c r="D169" s="255"/>
      <c r="E169" s="39">
        <f>E154+E156+E163+E165+E168</f>
        <v>716402</v>
      </c>
      <c r="F169" s="39">
        <f>F154+F156+F163+F165+F168</f>
        <v>574973.29</v>
      </c>
      <c r="G169" s="39">
        <f>G154+G156+G163+G165+G168</f>
        <v>1291375.29</v>
      </c>
    </row>
    <row r="170" spans="1:7" x14ac:dyDescent="0.25">
      <c r="A170" s="10" t="s">
        <v>33</v>
      </c>
      <c r="B170" s="10"/>
      <c r="C170" s="11"/>
      <c r="D170" s="12"/>
      <c r="E170" s="108"/>
      <c r="F170" s="108"/>
      <c r="G170" s="108"/>
    </row>
    <row r="172" spans="1:7" x14ac:dyDescent="0.25">
      <c r="A172" s="258" t="s">
        <v>261</v>
      </c>
      <c r="B172" s="258"/>
      <c r="C172" s="258"/>
      <c r="D172" s="258"/>
      <c r="E172" s="258"/>
      <c r="F172" s="258"/>
      <c r="G172" s="258"/>
    </row>
    <row r="173" spans="1:7" ht="38.25" x14ac:dyDescent="0.25">
      <c r="A173" s="13" t="s">
        <v>27</v>
      </c>
      <c r="B173" s="13" t="s">
        <v>28</v>
      </c>
      <c r="C173" s="13" t="s">
        <v>29</v>
      </c>
      <c r="D173" s="13" t="s">
        <v>2</v>
      </c>
      <c r="E173" s="14" t="s">
        <v>231</v>
      </c>
      <c r="F173" s="14" t="s">
        <v>232</v>
      </c>
      <c r="G173" s="14" t="s">
        <v>233</v>
      </c>
    </row>
    <row r="174" spans="1:7" x14ac:dyDescent="0.25">
      <c r="A174" s="15">
        <v>1</v>
      </c>
      <c r="B174" s="254" t="s">
        <v>190</v>
      </c>
      <c r="C174" s="254"/>
      <c r="D174" s="254"/>
      <c r="E174" s="254"/>
      <c r="F174" s="254"/>
      <c r="G174" s="254"/>
    </row>
    <row r="175" spans="1:7" x14ac:dyDescent="0.25">
      <c r="A175" s="253" t="s">
        <v>22</v>
      </c>
      <c r="B175" s="253"/>
      <c r="C175" s="253"/>
      <c r="D175" s="16"/>
      <c r="E175" s="106">
        <v>0</v>
      </c>
      <c r="F175" s="106">
        <v>0</v>
      </c>
      <c r="G175" s="106">
        <v>0</v>
      </c>
    </row>
    <row r="176" spans="1:7" x14ac:dyDescent="0.25">
      <c r="A176" s="15">
        <v>2</v>
      </c>
      <c r="B176" s="254" t="s">
        <v>191</v>
      </c>
      <c r="C176" s="254"/>
      <c r="D176" s="254"/>
      <c r="E176" s="254"/>
      <c r="F176" s="254"/>
      <c r="G176" s="254"/>
    </row>
    <row r="177" spans="1:7" s="1" customFormat="1" x14ac:dyDescent="0.25">
      <c r="A177" s="138" t="s">
        <v>218</v>
      </c>
      <c r="B177" s="52" t="s">
        <v>264</v>
      </c>
      <c r="C177" s="139" t="s">
        <v>263</v>
      </c>
      <c r="D177" s="138"/>
      <c r="E177" s="28">
        <v>0</v>
      </c>
      <c r="F177" s="28">
        <v>180235.26</v>
      </c>
      <c r="G177" s="30">
        <f t="shared" ref="G177" si="19">SUM(E177:F177)</f>
        <v>180235.26</v>
      </c>
    </row>
    <row r="178" spans="1:7" s="1" customFormat="1" x14ac:dyDescent="0.25">
      <c r="A178" s="253" t="s">
        <v>22</v>
      </c>
      <c r="B178" s="253"/>
      <c r="C178" s="253"/>
      <c r="D178" s="16"/>
      <c r="E178" s="106">
        <f>SUM(E177:E177)</f>
        <v>0</v>
      </c>
      <c r="F178" s="106">
        <f>SUM(F177:F177)</f>
        <v>180235.26</v>
      </c>
      <c r="G178" s="106">
        <f>SUM(G177:G177)</f>
        <v>180235.26</v>
      </c>
    </row>
    <row r="179" spans="1:7" x14ac:dyDescent="0.25">
      <c r="A179" s="15">
        <v>3</v>
      </c>
      <c r="B179" s="254" t="s">
        <v>187</v>
      </c>
      <c r="C179" s="254"/>
      <c r="D179" s="254"/>
      <c r="E179" s="254"/>
      <c r="F179" s="254"/>
      <c r="G179" s="254"/>
    </row>
    <row r="180" spans="1:7" x14ac:dyDescent="0.25">
      <c r="A180" s="138" t="s">
        <v>4</v>
      </c>
      <c r="B180" s="139" t="s">
        <v>74</v>
      </c>
      <c r="C180" s="139" t="s">
        <v>74</v>
      </c>
      <c r="D180" s="138"/>
      <c r="E180" s="28">
        <v>0</v>
      </c>
      <c r="F180" s="28">
        <f>21199.2+626.76+2681.14+16399.71+7987.41+51034.2+7429.08+148217.97</f>
        <v>255575.47</v>
      </c>
      <c r="G180" s="30">
        <f t="shared" ref="G180" si="20">SUM(E180:F180)</f>
        <v>255575.47</v>
      </c>
    </row>
    <row r="181" spans="1:7" x14ac:dyDescent="0.25">
      <c r="A181" s="138" t="s">
        <v>5</v>
      </c>
      <c r="B181" s="139" t="s">
        <v>256</v>
      </c>
      <c r="C181" s="139" t="s">
        <v>262</v>
      </c>
      <c r="D181" s="138"/>
      <c r="E181" s="28">
        <v>0</v>
      </c>
      <c r="F181" s="28">
        <f>71288.56+71288.56+71288.56+71288.56+71288.56+71288.56</f>
        <v>427731.36</v>
      </c>
      <c r="G181" s="30">
        <f t="shared" ref="G181" si="21">SUM(E181:F181)</f>
        <v>427731.36</v>
      </c>
    </row>
    <row r="182" spans="1:7" x14ac:dyDescent="0.25">
      <c r="A182" s="253" t="s">
        <v>22</v>
      </c>
      <c r="B182" s="253"/>
      <c r="C182" s="253"/>
      <c r="D182" s="16"/>
      <c r="E182" s="106">
        <f>SUM(E180:E181)</f>
        <v>0</v>
      </c>
      <c r="F182" s="106">
        <f>SUM(F180:F181)</f>
        <v>683306.83</v>
      </c>
      <c r="G182" s="18">
        <f>SUM(G180:G181)</f>
        <v>683306.83</v>
      </c>
    </row>
    <row r="183" spans="1:7" x14ac:dyDescent="0.25">
      <c r="A183" s="15">
        <v>4</v>
      </c>
      <c r="B183" s="254" t="s">
        <v>192</v>
      </c>
      <c r="C183" s="254"/>
      <c r="D183" s="254"/>
      <c r="E183" s="254"/>
      <c r="F183" s="254"/>
      <c r="G183" s="254"/>
    </row>
    <row r="184" spans="1:7" x14ac:dyDescent="0.25">
      <c r="A184" s="253" t="s">
        <v>22</v>
      </c>
      <c r="B184" s="253"/>
      <c r="C184" s="253"/>
      <c r="D184" s="16"/>
      <c r="E184" s="106">
        <v>0</v>
      </c>
      <c r="F184" s="106">
        <v>0</v>
      </c>
      <c r="G184" s="18">
        <v>0</v>
      </c>
    </row>
    <row r="185" spans="1:7" x14ac:dyDescent="0.25">
      <c r="A185" s="15">
        <v>5</v>
      </c>
      <c r="B185" s="267" t="s">
        <v>193</v>
      </c>
      <c r="C185" s="268"/>
      <c r="D185" s="268"/>
      <c r="E185" s="268"/>
      <c r="F185" s="268"/>
      <c r="G185" s="269"/>
    </row>
    <row r="186" spans="1:7" x14ac:dyDescent="0.25">
      <c r="A186" s="138" t="s">
        <v>32</v>
      </c>
      <c r="B186" s="33" t="s">
        <v>3</v>
      </c>
      <c r="C186" s="139" t="s">
        <v>19</v>
      </c>
      <c r="D186" s="138"/>
      <c r="E186" s="28">
        <v>0</v>
      </c>
      <c r="F186" s="28">
        <f>79648.93+8398.82</f>
        <v>88047.75</v>
      </c>
      <c r="G186" s="28">
        <f>SUM(E186:F186)</f>
        <v>88047.75</v>
      </c>
    </row>
    <row r="187" spans="1:7" x14ac:dyDescent="0.25">
      <c r="A187" s="253" t="s">
        <v>22</v>
      </c>
      <c r="B187" s="253"/>
      <c r="C187" s="253"/>
      <c r="D187" s="16"/>
      <c r="E187" s="106">
        <f>E186</f>
        <v>0</v>
      </c>
      <c r="F187" s="106">
        <f>F186</f>
        <v>88047.75</v>
      </c>
      <c r="G187" s="18">
        <f>SUM(E187:F187)</f>
        <v>88047.75</v>
      </c>
    </row>
    <row r="188" spans="1:7" x14ac:dyDescent="0.25">
      <c r="A188" s="255" t="s">
        <v>1</v>
      </c>
      <c r="B188" s="255"/>
      <c r="C188" s="255"/>
      <c r="D188" s="255"/>
      <c r="E188" s="39">
        <f>E175+E178+E182+E184+E187</f>
        <v>0</v>
      </c>
      <c r="F188" s="39">
        <f>F175+F178++F184+F187+F182</f>
        <v>951589.84</v>
      </c>
      <c r="G188" s="39">
        <f>G175+G178+G182+G184+G187</f>
        <v>951589.84</v>
      </c>
    </row>
    <row r="189" spans="1:7" s="1" customFormat="1" x14ac:dyDescent="0.25">
      <c r="A189" s="10" t="s">
        <v>33</v>
      </c>
      <c r="B189" s="10"/>
      <c r="C189" s="11"/>
      <c r="D189" s="12"/>
      <c r="E189" s="108"/>
      <c r="F189" s="108"/>
      <c r="G189" s="108"/>
    </row>
    <row r="191" spans="1:7" x14ac:dyDescent="0.25">
      <c r="A191" s="258" t="s">
        <v>265</v>
      </c>
      <c r="B191" s="258"/>
      <c r="C191" s="258"/>
      <c r="D191" s="258"/>
      <c r="E191" s="258"/>
      <c r="F191" s="258"/>
      <c r="G191" s="258"/>
    </row>
    <row r="192" spans="1:7" ht="38.25" x14ac:dyDescent="0.25">
      <c r="A192" s="13" t="s">
        <v>27</v>
      </c>
      <c r="B192" s="13" t="s">
        <v>28</v>
      </c>
      <c r="C192" s="13" t="s">
        <v>29</v>
      </c>
      <c r="D192" s="13" t="s">
        <v>2</v>
      </c>
      <c r="E192" s="14" t="s">
        <v>231</v>
      </c>
      <c r="F192" s="14" t="s">
        <v>232</v>
      </c>
      <c r="G192" s="14" t="s">
        <v>233</v>
      </c>
    </row>
    <row r="193" spans="1:7" x14ac:dyDescent="0.25">
      <c r="A193" s="15">
        <v>1</v>
      </c>
      <c r="B193" s="254" t="s">
        <v>190</v>
      </c>
      <c r="C193" s="254"/>
      <c r="D193" s="254"/>
      <c r="E193" s="254"/>
      <c r="F193" s="254"/>
      <c r="G193" s="254"/>
    </row>
    <row r="194" spans="1:7" x14ac:dyDescent="0.25">
      <c r="A194" s="253" t="s">
        <v>22</v>
      </c>
      <c r="B194" s="253"/>
      <c r="C194" s="253"/>
      <c r="D194" s="16"/>
      <c r="E194" s="106">
        <v>0</v>
      </c>
      <c r="F194" s="106">
        <v>0</v>
      </c>
      <c r="G194" s="106">
        <v>0</v>
      </c>
    </row>
    <row r="195" spans="1:7" x14ac:dyDescent="0.25">
      <c r="A195" s="15">
        <v>2</v>
      </c>
      <c r="B195" s="254" t="s">
        <v>191</v>
      </c>
      <c r="C195" s="254"/>
      <c r="D195" s="254"/>
      <c r="E195" s="254"/>
      <c r="F195" s="254"/>
      <c r="G195" s="254"/>
    </row>
    <row r="196" spans="1:7" x14ac:dyDescent="0.25">
      <c r="A196" s="140" t="s">
        <v>218</v>
      </c>
      <c r="B196" s="52" t="s">
        <v>264</v>
      </c>
      <c r="C196" s="141" t="s">
        <v>263</v>
      </c>
      <c r="D196" s="140"/>
      <c r="E196" s="28">
        <v>0</v>
      </c>
      <c r="F196" s="28">
        <v>193142.99</v>
      </c>
      <c r="G196" s="30">
        <f t="shared" ref="G196" si="22">SUM(E196:F196)</f>
        <v>193142.99</v>
      </c>
    </row>
    <row r="197" spans="1:7" x14ac:dyDescent="0.25">
      <c r="A197" s="253" t="s">
        <v>22</v>
      </c>
      <c r="B197" s="253"/>
      <c r="C197" s="253"/>
      <c r="D197" s="16"/>
      <c r="E197" s="106">
        <f>SUM(E196:E196)</f>
        <v>0</v>
      </c>
      <c r="F197" s="106">
        <f>SUM(F196:F196)</f>
        <v>193142.99</v>
      </c>
      <c r="G197" s="106">
        <f>SUM(G196:G196)</f>
        <v>193142.99</v>
      </c>
    </row>
    <row r="198" spans="1:7" x14ac:dyDescent="0.25">
      <c r="A198" s="15">
        <v>3</v>
      </c>
      <c r="B198" s="254" t="s">
        <v>187</v>
      </c>
      <c r="C198" s="254"/>
      <c r="D198" s="254"/>
      <c r="E198" s="254"/>
      <c r="F198" s="254"/>
      <c r="G198" s="254"/>
    </row>
    <row r="199" spans="1:7" x14ac:dyDescent="0.25">
      <c r="A199" s="140" t="s">
        <v>4</v>
      </c>
      <c r="B199" s="141" t="s">
        <v>74</v>
      </c>
      <c r="C199" s="141" t="s">
        <v>74</v>
      </c>
      <c r="D199" s="140"/>
      <c r="E199" s="28">
        <v>0</v>
      </c>
      <c r="F199" s="28">
        <f>20933.59+2541.86+626.76+146262.22+7429.08+50356.26+8178.37+19259</f>
        <v>255587.13999999998</v>
      </c>
      <c r="G199" s="30">
        <f t="shared" ref="G199" si="23">SUM(E199:F199)</f>
        <v>255587.13999999998</v>
      </c>
    </row>
    <row r="200" spans="1:7" x14ac:dyDescent="0.25">
      <c r="A200" s="140" t="s">
        <v>5</v>
      </c>
      <c r="B200" s="141" t="s">
        <v>256</v>
      </c>
      <c r="C200" s="141" t="s">
        <v>262</v>
      </c>
      <c r="D200" s="140"/>
      <c r="E200" s="28">
        <v>0</v>
      </c>
      <c r="F200" s="28">
        <f>71288.56+71288.56</f>
        <v>142577.12</v>
      </c>
      <c r="G200" s="30">
        <f t="shared" ref="G200:G202" si="24">SUM(E200:F200)</f>
        <v>142577.12</v>
      </c>
    </row>
    <row r="201" spans="1:7" s="1" customFormat="1" x14ac:dyDescent="0.25">
      <c r="A201" s="140" t="s">
        <v>6</v>
      </c>
      <c r="B201" s="33" t="s">
        <v>13</v>
      </c>
      <c r="C201" s="141" t="s">
        <v>189</v>
      </c>
      <c r="D201" s="140"/>
      <c r="E201" s="28">
        <v>0</v>
      </c>
      <c r="F201" s="28">
        <f>8351.34+87.01+7862.16+81.92</f>
        <v>16382.43</v>
      </c>
      <c r="G201" s="30">
        <f t="shared" si="24"/>
        <v>16382.43</v>
      </c>
    </row>
    <row r="202" spans="1:7" s="1" customFormat="1" x14ac:dyDescent="0.25">
      <c r="A202" s="140" t="s">
        <v>18</v>
      </c>
      <c r="B202" s="33" t="s">
        <v>44</v>
      </c>
      <c r="C202" s="141" t="s">
        <v>268</v>
      </c>
      <c r="D202" s="140"/>
      <c r="E202" s="28">
        <v>0</v>
      </c>
      <c r="F202" s="28">
        <v>5440</v>
      </c>
      <c r="G202" s="30">
        <f t="shared" si="24"/>
        <v>5440</v>
      </c>
    </row>
    <row r="203" spans="1:7" x14ac:dyDescent="0.25">
      <c r="A203" s="253" t="s">
        <v>22</v>
      </c>
      <c r="B203" s="253"/>
      <c r="C203" s="253"/>
      <c r="D203" s="16"/>
      <c r="E203" s="106">
        <f>SUM(E199:E202)</f>
        <v>0</v>
      </c>
      <c r="F203" s="106">
        <f>SUM(F199:F202)</f>
        <v>419986.69</v>
      </c>
      <c r="G203" s="18">
        <f>SUM(G199:G202)</f>
        <v>419986.69</v>
      </c>
    </row>
    <row r="204" spans="1:7" x14ac:dyDescent="0.25">
      <c r="A204" s="15">
        <v>4</v>
      </c>
      <c r="B204" s="254" t="s">
        <v>192</v>
      </c>
      <c r="C204" s="254"/>
      <c r="D204" s="254"/>
      <c r="E204" s="254"/>
      <c r="F204" s="254"/>
      <c r="G204" s="254"/>
    </row>
    <row r="205" spans="1:7" s="1" customFormat="1" x14ac:dyDescent="0.25">
      <c r="A205" s="140" t="s">
        <v>66</v>
      </c>
      <c r="B205" s="141" t="s">
        <v>267</v>
      </c>
      <c r="C205" s="141" t="s">
        <v>266</v>
      </c>
      <c r="D205" s="140"/>
      <c r="E205" s="28">
        <v>0</v>
      </c>
      <c r="F205" s="28">
        <f>25185+140000</f>
        <v>165185</v>
      </c>
      <c r="G205" s="30">
        <f t="shared" ref="G205" si="25">SUM(E205:F205)</f>
        <v>165185</v>
      </c>
    </row>
    <row r="206" spans="1:7" x14ac:dyDescent="0.25">
      <c r="A206" s="253" t="s">
        <v>22</v>
      </c>
      <c r="B206" s="253"/>
      <c r="C206" s="253"/>
      <c r="D206" s="16"/>
      <c r="E206" s="106">
        <v>0</v>
      </c>
      <c r="F206" s="106">
        <f>F205</f>
        <v>165185</v>
      </c>
      <c r="G206" s="18">
        <f>G205</f>
        <v>165185</v>
      </c>
    </row>
    <row r="207" spans="1:7" x14ac:dyDescent="0.25">
      <c r="A207" s="15">
        <v>5</v>
      </c>
      <c r="B207" s="267" t="s">
        <v>193</v>
      </c>
      <c r="C207" s="268"/>
      <c r="D207" s="268"/>
      <c r="E207" s="268"/>
      <c r="F207" s="268"/>
      <c r="G207" s="269"/>
    </row>
    <row r="208" spans="1:7" x14ac:dyDescent="0.25">
      <c r="A208" s="140" t="s">
        <v>32</v>
      </c>
      <c r="B208" s="33" t="s">
        <v>3</v>
      </c>
      <c r="C208" s="141" t="s">
        <v>19</v>
      </c>
      <c r="D208" s="140"/>
      <c r="E208" s="28">
        <v>0</v>
      </c>
      <c r="F208" s="28">
        <v>91372.67</v>
      </c>
      <c r="G208" s="28">
        <f>SUM(E208:F208)</f>
        <v>91372.67</v>
      </c>
    </row>
    <row r="209" spans="1:7" x14ac:dyDescent="0.25">
      <c r="A209" s="253" t="s">
        <v>22</v>
      </c>
      <c r="B209" s="253"/>
      <c r="C209" s="253"/>
      <c r="D209" s="16"/>
      <c r="E209" s="106">
        <f>E208</f>
        <v>0</v>
      </c>
      <c r="F209" s="106">
        <f>F208</f>
        <v>91372.67</v>
      </c>
      <c r="G209" s="18">
        <f>SUM(E209:F209)</f>
        <v>91372.67</v>
      </c>
    </row>
    <row r="210" spans="1:7" x14ac:dyDescent="0.25">
      <c r="A210" s="255" t="s">
        <v>1</v>
      </c>
      <c r="B210" s="255"/>
      <c r="C210" s="255"/>
      <c r="D210" s="255"/>
      <c r="E210" s="39">
        <f>E194+E197+E203+E206+E209</f>
        <v>0</v>
      </c>
      <c r="F210" s="39">
        <f>F194+F197++F206+F209+F203</f>
        <v>869687.35</v>
      </c>
      <c r="G210" s="39">
        <f>G194+G197+G203+G206+G209</f>
        <v>869687.35</v>
      </c>
    </row>
    <row r="211" spans="1:7" x14ac:dyDescent="0.25">
      <c r="A211" s="10" t="s">
        <v>33</v>
      </c>
      <c r="B211" s="10"/>
      <c r="C211" s="11"/>
      <c r="D211" s="12"/>
      <c r="E211" s="108"/>
      <c r="F211" s="108"/>
      <c r="G211" s="108"/>
    </row>
    <row r="213" spans="1:7" x14ac:dyDescent="0.25">
      <c r="A213" s="258" t="s">
        <v>269</v>
      </c>
      <c r="B213" s="258"/>
      <c r="C213" s="258"/>
      <c r="D213" s="258"/>
      <c r="E213" s="258"/>
      <c r="F213" s="258"/>
      <c r="G213" s="258"/>
    </row>
    <row r="214" spans="1:7" ht="38.25" x14ac:dyDescent="0.25">
      <c r="A214" s="13" t="s">
        <v>27</v>
      </c>
      <c r="B214" s="13" t="s">
        <v>28</v>
      </c>
      <c r="C214" s="13" t="s">
        <v>29</v>
      </c>
      <c r="D214" s="13" t="s">
        <v>2</v>
      </c>
      <c r="E214" s="14" t="s">
        <v>231</v>
      </c>
      <c r="F214" s="14" t="s">
        <v>232</v>
      </c>
      <c r="G214" s="14" t="s">
        <v>233</v>
      </c>
    </row>
    <row r="215" spans="1:7" x14ac:dyDescent="0.25">
      <c r="A215" s="15">
        <v>1</v>
      </c>
      <c r="B215" s="254" t="s">
        <v>190</v>
      </c>
      <c r="C215" s="254"/>
      <c r="D215" s="254"/>
      <c r="E215" s="254"/>
      <c r="F215" s="254"/>
      <c r="G215" s="254"/>
    </row>
    <row r="216" spans="1:7" x14ac:dyDescent="0.25">
      <c r="A216" s="253" t="s">
        <v>22</v>
      </c>
      <c r="B216" s="253"/>
      <c r="C216" s="253"/>
      <c r="D216" s="16"/>
      <c r="E216" s="106">
        <v>0</v>
      </c>
      <c r="F216" s="106">
        <v>0</v>
      </c>
      <c r="G216" s="106">
        <v>0</v>
      </c>
    </row>
    <row r="217" spans="1:7" x14ac:dyDescent="0.25">
      <c r="A217" s="15">
        <v>2</v>
      </c>
      <c r="B217" s="254" t="s">
        <v>191</v>
      </c>
      <c r="C217" s="254"/>
      <c r="D217" s="254"/>
      <c r="E217" s="254"/>
      <c r="F217" s="254"/>
      <c r="G217" s="254"/>
    </row>
    <row r="218" spans="1:7" x14ac:dyDescent="0.25">
      <c r="A218" s="253" t="s">
        <v>22</v>
      </c>
      <c r="B218" s="253"/>
      <c r="C218" s="253"/>
      <c r="D218" s="16"/>
      <c r="E218" s="106">
        <v>0</v>
      </c>
      <c r="F218" s="106">
        <v>0</v>
      </c>
      <c r="G218" s="106">
        <v>0</v>
      </c>
    </row>
    <row r="219" spans="1:7" x14ac:dyDescent="0.25">
      <c r="A219" s="15">
        <v>3</v>
      </c>
      <c r="B219" s="254" t="s">
        <v>187</v>
      </c>
      <c r="C219" s="254"/>
      <c r="D219" s="254"/>
      <c r="E219" s="254"/>
      <c r="F219" s="254"/>
      <c r="G219" s="254"/>
    </row>
    <row r="220" spans="1:7" x14ac:dyDescent="0.25">
      <c r="A220" s="142" t="s">
        <v>4</v>
      </c>
      <c r="B220" s="143" t="s">
        <v>74</v>
      </c>
      <c r="C220" s="143" t="s">
        <v>74</v>
      </c>
      <c r="D220" s="142"/>
      <c r="E220" s="28">
        <v>0</v>
      </c>
      <c r="F220" s="28">
        <f>1872.9+2809.35+20947.01+260019.51+20544.16+626.76+2507.04+146209.59+8323.96+50156.87+7429.08</f>
        <v>521446.23</v>
      </c>
      <c r="G220" s="30">
        <f t="shared" ref="G220" si="26">SUM(E220:F220)</f>
        <v>521446.23</v>
      </c>
    </row>
    <row r="221" spans="1:7" x14ac:dyDescent="0.25">
      <c r="A221" s="142" t="s">
        <v>5</v>
      </c>
      <c r="B221" s="143" t="s">
        <v>256</v>
      </c>
      <c r="C221" s="143" t="s">
        <v>262</v>
      </c>
      <c r="D221" s="142"/>
      <c r="E221" s="28">
        <v>0</v>
      </c>
      <c r="F221" s="28">
        <f>66535.99+66535.99</f>
        <v>133071.98000000001</v>
      </c>
      <c r="G221" s="30">
        <f t="shared" ref="G221:G222" si="27">SUM(E221:F221)</f>
        <v>133071.98000000001</v>
      </c>
    </row>
    <row r="222" spans="1:7" x14ac:dyDescent="0.25">
      <c r="A222" s="142" t="s">
        <v>6</v>
      </c>
      <c r="B222" s="33" t="s">
        <v>13</v>
      </c>
      <c r="C222" s="143" t="s">
        <v>189</v>
      </c>
      <c r="D222" s="142"/>
      <c r="E222" s="28">
        <v>0</v>
      </c>
      <c r="F222" s="28">
        <f>8087.94+94.27</f>
        <v>8182.21</v>
      </c>
      <c r="G222" s="30">
        <f t="shared" si="27"/>
        <v>8182.21</v>
      </c>
    </row>
    <row r="223" spans="1:7" x14ac:dyDescent="0.25">
      <c r="A223" s="253" t="s">
        <v>22</v>
      </c>
      <c r="B223" s="253"/>
      <c r="C223" s="253"/>
      <c r="D223" s="16"/>
      <c r="E223" s="106">
        <f>SUM(E220:E222)</f>
        <v>0</v>
      </c>
      <c r="F223" s="106">
        <f>SUM(F220:F222)</f>
        <v>662700.41999999993</v>
      </c>
      <c r="G223" s="18">
        <f>SUM(G220:G222)</f>
        <v>662700.41999999993</v>
      </c>
    </row>
    <row r="224" spans="1:7" x14ac:dyDescent="0.25">
      <c r="A224" s="15">
        <v>4</v>
      </c>
      <c r="B224" s="254" t="s">
        <v>192</v>
      </c>
      <c r="C224" s="254"/>
      <c r="D224" s="254"/>
      <c r="E224" s="254"/>
      <c r="F224" s="254"/>
      <c r="G224" s="254"/>
    </row>
    <row r="225" spans="1:7" x14ac:dyDescent="0.25">
      <c r="A225" s="253" t="s">
        <v>22</v>
      </c>
      <c r="B225" s="253"/>
      <c r="C225" s="253"/>
      <c r="D225" s="16"/>
      <c r="E225" s="106">
        <v>0</v>
      </c>
      <c r="F225" s="106">
        <v>0</v>
      </c>
      <c r="G225" s="18">
        <v>0</v>
      </c>
    </row>
    <row r="226" spans="1:7" x14ac:dyDescent="0.25">
      <c r="A226" s="15">
        <v>5</v>
      </c>
      <c r="B226" s="267" t="s">
        <v>193</v>
      </c>
      <c r="C226" s="268"/>
      <c r="D226" s="268"/>
      <c r="E226" s="268"/>
      <c r="F226" s="268"/>
      <c r="G226" s="269"/>
    </row>
    <row r="227" spans="1:7" x14ac:dyDescent="0.25">
      <c r="A227" s="142" t="s">
        <v>32</v>
      </c>
      <c r="B227" s="33" t="s">
        <v>3</v>
      </c>
      <c r="C227" s="143" t="s">
        <v>19</v>
      </c>
      <c r="D227" s="142"/>
      <c r="E227" s="28">
        <v>0</v>
      </c>
      <c r="F227" s="28">
        <v>90053.46</v>
      </c>
      <c r="G227" s="28">
        <f>SUM(E227:F227)</f>
        <v>90053.46</v>
      </c>
    </row>
    <row r="228" spans="1:7" x14ac:dyDescent="0.25">
      <c r="A228" s="253" t="s">
        <v>22</v>
      </c>
      <c r="B228" s="253"/>
      <c r="C228" s="253"/>
      <c r="D228" s="16"/>
      <c r="E228" s="106">
        <f>E227</f>
        <v>0</v>
      </c>
      <c r="F228" s="106">
        <f>F227</f>
        <v>90053.46</v>
      </c>
      <c r="G228" s="18">
        <f>SUM(E228:F228)</f>
        <v>90053.46</v>
      </c>
    </row>
    <row r="229" spans="1:7" x14ac:dyDescent="0.25">
      <c r="A229" s="255" t="s">
        <v>1</v>
      </c>
      <c r="B229" s="255"/>
      <c r="C229" s="255"/>
      <c r="D229" s="255"/>
      <c r="E229" s="39">
        <f>E216+E218+E223+E225+E228</f>
        <v>0</v>
      </c>
      <c r="F229" s="39">
        <f>F216+F218++F225+F228+F223</f>
        <v>752753.87999999989</v>
      </c>
      <c r="G229" s="39">
        <f>G216+G218+G223+G225+G228</f>
        <v>752753.87999999989</v>
      </c>
    </row>
    <row r="230" spans="1:7" x14ac:dyDescent="0.25">
      <c r="A230" s="10" t="s">
        <v>33</v>
      </c>
      <c r="B230" s="10"/>
      <c r="C230" s="11"/>
      <c r="D230" s="12"/>
      <c r="E230" s="108"/>
      <c r="F230" s="108"/>
      <c r="G230" s="108"/>
    </row>
    <row r="232" spans="1:7" x14ac:dyDescent="0.25">
      <c r="A232" s="258" t="s">
        <v>270</v>
      </c>
      <c r="B232" s="258"/>
      <c r="C232" s="258"/>
      <c r="D232" s="258"/>
      <c r="E232" s="258"/>
      <c r="F232" s="258"/>
      <c r="G232" s="258"/>
    </row>
    <row r="233" spans="1:7" ht="38.25" x14ac:dyDescent="0.25">
      <c r="A233" s="13" t="s">
        <v>27</v>
      </c>
      <c r="B233" s="13" t="s">
        <v>28</v>
      </c>
      <c r="C233" s="13" t="s">
        <v>29</v>
      </c>
      <c r="D233" s="13" t="s">
        <v>2</v>
      </c>
      <c r="E233" s="14" t="s">
        <v>231</v>
      </c>
      <c r="F233" s="14" t="s">
        <v>232</v>
      </c>
      <c r="G233" s="14" t="s">
        <v>233</v>
      </c>
    </row>
    <row r="234" spans="1:7" x14ac:dyDescent="0.25">
      <c r="A234" s="15">
        <v>1</v>
      </c>
      <c r="B234" s="254" t="s">
        <v>190</v>
      </c>
      <c r="C234" s="254"/>
      <c r="D234" s="254"/>
      <c r="E234" s="254"/>
      <c r="F234" s="254"/>
      <c r="G234" s="254"/>
    </row>
    <row r="235" spans="1:7" x14ac:dyDescent="0.25">
      <c r="A235" s="253" t="s">
        <v>22</v>
      </c>
      <c r="B235" s="253"/>
      <c r="C235" s="253"/>
      <c r="D235" s="16"/>
      <c r="E235" s="106">
        <v>0</v>
      </c>
      <c r="F235" s="106">
        <v>0</v>
      </c>
      <c r="G235" s="106">
        <v>0</v>
      </c>
    </row>
    <row r="236" spans="1:7" x14ac:dyDescent="0.25">
      <c r="A236" s="15">
        <v>2</v>
      </c>
      <c r="B236" s="254" t="s">
        <v>191</v>
      </c>
      <c r="C236" s="254"/>
      <c r="D236" s="254"/>
      <c r="E236" s="254"/>
      <c r="F236" s="254"/>
      <c r="G236" s="254"/>
    </row>
    <row r="237" spans="1:7" s="1" customFormat="1" x14ac:dyDescent="0.25">
      <c r="A237" s="144" t="s">
        <v>218</v>
      </c>
      <c r="B237" s="52" t="s">
        <v>264</v>
      </c>
      <c r="C237" s="145" t="s">
        <v>263</v>
      </c>
      <c r="D237" s="144"/>
      <c r="E237" s="28">
        <v>0</v>
      </c>
      <c r="F237" s="28">
        <v>177082.52</v>
      </c>
      <c r="G237" s="30">
        <f t="shared" ref="G237" si="28">SUM(E237:F237)</f>
        <v>177082.52</v>
      </c>
    </row>
    <row r="238" spans="1:7" x14ac:dyDescent="0.25">
      <c r="A238" s="253" t="s">
        <v>22</v>
      </c>
      <c r="B238" s="253"/>
      <c r="C238" s="253"/>
      <c r="D238" s="16"/>
      <c r="E238" s="106">
        <f>E237</f>
        <v>0</v>
      </c>
      <c r="F238" s="106">
        <f>F237</f>
        <v>177082.52</v>
      </c>
      <c r="G238" s="106">
        <f>G237</f>
        <v>177082.52</v>
      </c>
    </row>
    <row r="239" spans="1:7" x14ac:dyDescent="0.25">
      <c r="A239" s="15">
        <v>3</v>
      </c>
      <c r="B239" s="254" t="s">
        <v>187</v>
      </c>
      <c r="C239" s="254"/>
      <c r="D239" s="254"/>
      <c r="E239" s="254"/>
      <c r="F239" s="254"/>
      <c r="G239" s="254"/>
    </row>
    <row r="240" spans="1:7" x14ac:dyDescent="0.25">
      <c r="A240" s="144" t="s">
        <v>4</v>
      </c>
      <c r="B240" s="145" t="s">
        <v>74</v>
      </c>
      <c r="C240" s="145" t="s">
        <v>74</v>
      </c>
      <c r="D240" s="144"/>
      <c r="E240" s="28">
        <v>0</v>
      </c>
      <c r="F240" s="28">
        <f>3121.5+20725.95+2437.4+626.76+145377.9+7429.08+49797.44+8729.08+5888.97+10312.04+20672.96</f>
        <v>275119.08</v>
      </c>
      <c r="G240" s="30">
        <f t="shared" ref="G240" si="29">SUM(E240:F240)</f>
        <v>275119.08</v>
      </c>
    </row>
    <row r="241" spans="1:7" x14ac:dyDescent="0.25">
      <c r="A241" s="144" t="s">
        <v>5</v>
      </c>
      <c r="B241" s="145" t="s">
        <v>256</v>
      </c>
      <c r="C241" s="145" t="s">
        <v>262</v>
      </c>
      <c r="D241" s="144"/>
      <c r="E241" s="28">
        <v>0</v>
      </c>
      <c r="F241" s="28">
        <f>2200.29+2200.29</f>
        <v>4400.58</v>
      </c>
      <c r="G241" s="30">
        <f t="shared" ref="G241:G243" si="30">SUM(E241:F241)</f>
        <v>4400.58</v>
      </c>
    </row>
    <row r="242" spans="1:7" s="1" customFormat="1" x14ac:dyDescent="0.25">
      <c r="A242" s="144" t="s">
        <v>6</v>
      </c>
      <c r="B242" s="145" t="s">
        <v>10</v>
      </c>
      <c r="C242" s="145" t="s">
        <v>11</v>
      </c>
      <c r="D242" s="144"/>
      <c r="E242" s="28">
        <v>0</v>
      </c>
      <c r="F242" s="28">
        <f>404.13+25310.95+49284.92</f>
        <v>75000</v>
      </c>
      <c r="G242" s="30">
        <f t="shared" si="30"/>
        <v>75000</v>
      </c>
    </row>
    <row r="243" spans="1:7" x14ac:dyDescent="0.25">
      <c r="A243" s="144" t="s">
        <v>18</v>
      </c>
      <c r="B243" s="33" t="s">
        <v>13</v>
      </c>
      <c r="C243" s="145" t="s">
        <v>189</v>
      </c>
      <c r="D243" s="144"/>
      <c r="E243" s="28">
        <v>0</v>
      </c>
      <c r="F243" s="28">
        <f>7306.2+76.12</f>
        <v>7382.32</v>
      </c>
      <c r="G243" s="30">
        <f t="shared" si="30"/>
        <v>7382.32</v>
      </c>
    </row>
    <row r="244" spans="1:7" x14ac:dyDescent="0.25">
      <c r="A244" s="253" t="s">
        <v>22</v>
      </c>
      <c r="B244" s="253"/>
      <c r="C244" s="253"/>
      <c r="D244" s="16"/>
      <c r="E244" s="106">
        <f>SUM(E240:E243)</f>
        <v>0</v>
      </c>
      <c r="F244" s="106">
        <f>SUM(F240:F243)</f>
        <v>361901.98000000004</v>
      </c>
      <c r="G244" s="18">
        <f>SUM(G240:G243)</f>
        <v>361901.98000000004</v>
      </c>
    </row>
    <row r="245" spans="1:7" x14ac:dyDescent="0.25">
      <c r="A245" s="15">
        <v>4</v>
      </c>
      <c r="B245" s="254" t="s">
        <v>192</v>
      </c>
      <c r="C245" s="254"/>
      <c r="D245" s="254"/>
      <c r="E245" s="254"/>
      <c r="F245" s="254"/>
      <c r="G245" s="254"/>
    </row>
    <row r="246" spans="1:7" x14ac:dyDescent="0.25">
      <c r="A246" s="253" t="s">
        <v>22</v>
      </c>
      <c r="B246" s="253"/>
      <c r="C246" s="253"/>
      <c r="D246" s="16"/>
      <c r="E246" s="106">
        <v>0</v>
      </c>
      <c r="F246" s="106">
        <v>0</v>
      </c>
      <c r="G246" s="18">
        <v>0</v>
      </c>
    </row>
    <row r="247" spans="1:7" x14ac:dyDescent="0.25">
      <c r="A247" s="15">
        <v>5</v>
      </c>
      <c r="B247" s="267" t="s">
        <v>193</v>
      </c>
      <c r="C247" s="268"/>
      <c r="D247" s="268"/>
      <c r="E247" s="268"/>
      <c r="F247" s="268"/>
      <c r="G247" s="269"/>
    </row>
    <row r="248" spans="1:7" x14ac:dyDescent="0.25">
      <c r="A248" s="144" t="s">
        <v>32</v>
      </c>
      <c r="B248" s="33" t="s">
        <v>3</v>
      </c>
      <c r="C248" s="145" t="s">
        <v>19</v>
      </c>
      <c r="D248" s="144"/>
      <c r="E248" s="28">
        <v>0</v>
      </c>
      <c r="F248" s="28">
        <v>84332.42</v>
      </c>
      <c r="G248" s="28">
        <f>SUM(E248:F248)</f>
        <v>84332.42</v>
      </c>
    </row>
    <row r="249" spans="1:7" x14ac:dyDescent="0.25">
      <c r="A249" s="253" t="s">
        <v>22</v>
      </c>
      <c r="B249" s="253"/>
      <c r="C249" s="253"/>
      <c r="D249" s="16"/>
      <c r="E249" s="106">
        <f>E248</f>
        <v>0</v>
      </c>
      <c r="F249" s="106">
        <f>F248</f>
        <v>84332.42</v>
      </c>
      <c r="G249" s="18">
        <f>SUM(E249:F249)</f>
        <v>84332.42</v>
      </c>
    </row>
    <row r="250" spans="1:7" x14ac:dyDescent="0.25">
      <c r="A250" s="255" t="s">
        <v>1</v>
      </c>
      <c r="B250" s="255"/>
      <c r="C250" s="255"/>
      <c r="D250" s="255"/>
      <c r="E250" s="39">
        <f>E235+E238+E244+E246+E249</f>
        <v>0</v>
      </c>
      <c r="F250" s="39">
        <f>F235+F238++F246+F249+F244</f>
        <v>623316.92000000004</v>
      </c>
      <c r="G250" s="39">
        <f>G235+G238+G244+G246+G249</f>
        <v>623316.92000000004</v>
      </c>
    </row>
    <row r="251" spans="1:7" x14ac:dyDescent="0.25">
      <c r="A251" s="10" t="s">
        <v>33</v>
      </c>
      <c r="B251" s="10"/>
      <c r="C251" s="11"/>
      <c r="D251" s="12"/>
      <c r="E251" s="108"/>
      <c r="F251" s="108"/>
      <c r="G251" s="108"/>
    </row>
  </sheetData>
  <mergeCells count="142">
    <mergeCell ref="B247:G247"/>
    <mergeCell ref="A249:C249"/>
    <mergeCell ref="A250:D250"/>
    <mergeCell ref="A232:G232"/>
    <mergeCell ref="B234:G234"/>
    <mergeCell ref="A235:C235"/>
    <mergeCell ref="B236:G236"/>
    <mergeCell ref="A238:C238"/>
    <mergeCell ref="B239:G239"/>
    <mergeCell ref="A244:C244"/>
    <mergeCell ref="B245:G245"/>
    <mergeCell ref="A246:C246"/>
    <mergeCell ref="B207:G207"/>
    <mergeCell ref="A209:C209"/>
    <mergeCell ref="A210:D210"/>
    <mergeCell ref="A191:G191"/>
    <mergeCell ref="B193:G193"/>
    <mergeCell ref="A194:C194"/>
    <mergeCell ref="B195:G195"/>
    <mergeCell ref="A197:C197"/>
    <mergeCell ref="B198:G198"/>
    <mergeCell ref="A203:C203"/>
    <mergeCell ref="B204:G204"/>
    <mergeCell ref="A206:C206"/>
    <mergeCell ref="A188:D188"/>
    <mergeCell ref="A178:C178"/>
    <mergeCell ref="A172:G172"/>
    <mergeCell ref="B174:G174"/>
    <mergeCell ref="A175:C175"/>
    <mergeCell ref="B176:G176"/>
    <mergeCell ref="B179:G179"/>
    <mergeCell ref="A182:C182"/>
    <mergeCell ref="B183:G183"/>
    <mergeCell ref="A184:C184"/>
    <mergeCell ref="B185:G185"/>
    <mergeCell ref="A187:C187"/>
    <mergeCell ref="A147:D147"/>
    <mergeCell ref="A141:C141"/>
    <mergeCell ref="B142:G142"/>
    <mergeCell ref="A143:C143"/>
    <mergeCell ref="B144:G144"/>
    <mergeCell ref="A146:C146"/>
    <mergeCell ref="A129:G129"/>
    <mergeCell ref="B131:G131"/>
    <mergeCell ref="A134:C134"/>
    <mergeCell ref="B135:G135"/>
    <mergeCell ref="B137:G137"/>
    <mergeCell ref="A30:G30"/>
    <mergeCell ref="B32:G32"/>
    <mergeCell ref="A34:C34"/>
    <mergeCell ref="B35:G35"/>
    <mergeCell ref="B37:G37"/>
    <mergeCell ref="A108:D108"/>
    <mergeCell ref="A102:C102"/>
    <mergeCell ref="B103:G103"/>
    <mergeCell ref="A104:C104"/>
    <mergeCell ref="B105:G105"/>
    <mergeCell ref="A107:C107"/>
    <mergeCell ref="A92:G92"/>
    <mergeCell ref="B94:G94"/>
    <mergeCell ref="A96:C96"/>
    <mergeCell ref="B97:G97"/>
    <mergeCell ref="B99:G99"/>
    <mergeCell ref="B57:G57"/>
    <mergeCell ref="B59:G59"/>
    <mergeCell ref="A69:D69"/>
    <mergeCell ref="A63:C63"/>
    <mergeCell ref="B64:G64"/>
    <mergeCell ref="A65:C65"/>
    <mergeCell ref="B66:G66"/>
    <mergeCell ref="A68:C68"/>
    <mergeCell ref="B8:G8"/>
    <mergeCell ref="A1:G1"/>
    <mergeCell ref="A2:G2"/>
    <mergeCell ref="B3:G3"/>
    <mergeCell ref="A4:G4"/>
    <mergeCell ref="A6:G6"/>
    <mergeCell ref="A50:G50"/>
    <mergeCell ref="B52:G52"/>
    <mergeCell ref="A56:C56"/>
    <mergeCell ref="B24:G24"/>
    <mergeCell ref="A26:C26"/>
    <mergeCell ref="A27:D27"/>
    <mergeCell ref="A12:C12"/>
    <mergeCell ref="B13:G13"/>
    <mergeCell ref="B15:G15"/>
    <mergeCell ref="A21:C21"/>
    <mergeCell ref="B22:G22"/>
    <mergeCell ref="A23:C23"/>
    <mergeCell ref="A47:D47"/>
    <mergeCell ref="A41:C41"/>
    <mergeCell ref="B42:G42"/>
    <mergeCell ref="A43:C43"/>
    <mergeCell ref="B44:G44"/>
    <mergeCell ref="A46:C46"/>
    <mergeCell ref="A72:G72"/>
    <mergeCell ref="B74:G74"/>
    <mergeCell ref="A77:C77"/>
    <mergeCell ref="B78:G78"/>
    <mergeCell ref="B80:G80"/>
    <mergeCell ref="A89:D89"/>
    <mergeCell ref="A83:C83"/>
    <mergeCell ref="B84:G84"/>
    <mergeCell ref="A85:C85"/>
    <mergeCell ref="B86:G86"/>
    <mergeCell ref="A88:C88"/>
    <mergeCell ref="A111:G111"/>
    <mergeCell ref="B113:G113"/>
    <mergeCell ref="A115:C115"/>
    <mergeCell ref="B116:G116"/>
    <mergeCell ref="B118:G118"/>
    <mergeCell ref="A126:D126"/>
    <mergeCell ref="A120:C120"/>
    <mergeCell ref="B121:G121"/>
    <mergeCell ref="A122:C122"/>
    <mergeCell ref="B123:G123"/>
    <mergeCell ref="A125:C125"/>
    <mergeCell ref="A150:G150"/>
    <mergeCell ref="B152:G152"/>
    <mergeCell ref="A154:C154"/>
    <mergeCell ref="B155:G155"/>
    <mergeCell ref="B157:G157"/>
    <mergeCell ref="A169:D169"/>
    <mergeCell ref="A161:A162"/>
    <mergeCell ref="B161:B162"/>
    <mergeCell ref="A163:C163"/>
    <mergeCell ref="B164:G164"/>
    <mergeCell ref="A165:C165"/>
    <mergeCell ref="B166:G166"/>
    <mergeCell ref="A168:C168"/>
    <mergeCell ref="B226:G226"/>
    <mergeCell ref="A228:C228"/>
    <mergeCell ref="A229:D229"/>
    <mergeCell ref="A213:G213"/>
    <mergeCell ref="B215:G215"/>
    <mergeCell ref="A216:C216"/>
    <mergeCell ref="B217:G217"/>
    <mergeCell ref="A218:C218"/>
    <mergeCell ref="B219:G219"/>
    <mergeCell ref="A223:C223"/>
    <mergeCell ref="B224:G224"/>
    <mergeCell ref="A225:C2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8"/>
  <sheetViews>
    <sheetView topLeftCell="A250" workbookViewId="0">
      <selection activeCell="C41" sqref="C41"/>
    </sheetView>
  </sheetViews>
  <sheetFormatPr defaultRowHeight="15" x14ac:dyDescent="0.25"/>
  <cols>
    <col min="2" max="2" width="44.28515625" bestFit="1" customWidth="1"/>
    <col min="3" max="3" width="44" bestFit="1" customWidth="1"/>
    <col min="4" max="4" width="0" hidden="1" customWidth="1"/>
    <col min="5" max="5" width="17" customWidth="1"/>
    <col min="6" max="6" width="16.140625" customWidth="1"/>
    <col min="7" max="7" width="15" bestFit="1" customWidth="1"/>
  </cols>
  <sheetData>
    <row r="1" spans="1:7" ht="15.75" x14ac:dyDescent="0.25">
      <c r="A1" s="265" t="s">
        <v>35</v>
      </c>
      <c r="B1" s="265"/>
      <c r="C1" s="265"/>
      <c r="D1" s="265"/>
      <c r="E1" s="265"/>
      <c r="F1" s="265"/>
      <c r="G1" s="265"/>
    </row>
    <row r="2" spans="1:7" ht="15.75" x14ac:dyDescent="0.25">
      <c r="A2" s="265" t="s">
        <v>34</v>
      </c>
      <c r="B2" s="265"/>
      <c r="C2" s="265"/>
      <c r="D2" s="265"/>
      <c r="E2" s="265"/>
      <c r="F2" s="265"/>
      <c r="G2" s="265"/>
    </row>
    <row r="3" spans="1:7" ht="15.75" x14ac:dyDescent="0.25">
      <c r="A3" s="3"/>
      <c r="B3" s="265" t="s">
        <v>30</v>
      </c>
      <c r="C3" s="265"/>
      <c r="D3" s="265"/>
      <c r="E3" s="265"/>
      <c r="F3" s="265"/>
      <c r="G3" s="265"/>
    </row>
    <row r="4" spans="1:7" ht="15.75" x14ac:dyDescent="0.25">
      <c r="A4" s="265" t="s">
        <v>272</v>
      </c>
      <c r="B4" s="265"/>
      <c r="C4" s="265"/>
      <c r="D4" s="265"/>
      <c r="E4" s="265"/>
      <c r="F4" s="265"/>
      <c r="G4" s="265"/>
    </row>
    <row r="8" spans="1:7" x14ac:dyDescent="0.25">
      <c r="A8" s="258" t="s">
        <v>271</v>
      </c>
      <c r="B8" s="258"/>
      <c r="C8" s="258"/>
      <c r="D8" s="258"/>
      <c r="E8" s="258"/>
      <c r="F8" s="258"/>
      <c r="G8" s="258"/>
    </row>
    <row r="9" spans="1:7" ht="38.25" x14ac:dyDescent="0.25">
      <c r="A9" s="13" t="s">
        <v>27</v>
      </c>
      <c r="B9" s="13" t="s">
        <v>28</v>
      </c>
      <c r="C9" s="13" t="s">
        <v>29</v>
      </c>
      <c r="D9" s="13" t="s">
        <v>2</v>
      </c>
      <c r="E9" s="14" t="s">
        <v>276</v>
      </c>
      <c r="F9" s="14" t="s">
        <v>277</v>
      </c>
      <c r="G9" s="14" t="s">
        <v>278</v>
      </c>
    </row>
    <row r="10" spans="1:7" x14ac:dyDescent="0.25">
      <c r="A10" s="15">
        <v>1</v>
      </c>
      <c r="B10" s="254" t="s">
        <v>190</v>
      </c>
      <c r="C10" s="254"/>
      <c r="D10" s="254"/>
      <c r="E10" s="254"/>
      <c r="F10" s="254"/>
      <c r="G10" s="254"/>
    </row>
    <row r="11" spans="1:7" s="1" customFormat="1" x14ac:dyDescent="0.25">
      <c r="A11" s="146" t="s">
        <v>48</v>
      </c>
      <c r="B11" s="33" t="s">
        <v>243</v>
      </c>
      <c r="C11" s="147" t="s">
        <v>273</v>
      </c>
      <c r="D11" s="146"/>
      <c r="E11" s="28">
        <v>20000</v>
      </c>
      <c r="F11" s="28">
        <v>0</v>
      </c>
      <c r="G11" s="30">
        <f t="shared" ref="G11:G12" si="0">SUM(E11:F11)</f>
        <v>20000</v>
      </c>
    </row>
    <row r="12" spans="1:7" s="1" customFormat="1" x14ac:dyDescent="0.25">
      <c r="A12" s="146" t="s">
        <v>70</v>
      </c>
      <c r="B12" s="33" t="s">
        <v>139</v>
      </c>
      <c r="C12" s="147" t="s">
        <v>274</v>
      </c>
      <c r="D12" s="146"/>
      <c r="E12" s="28">
        <v>56000</v>
      </c>
      <c r="F12" s="28">
        <v>0</v>
      </c>
      <c r="G12" s="30">
        <f t="shared" si="0"/>
        <v>56000</v>
      </c>
    </row>
    <row r="13" spans="1:7" x14ac:dyDescent="0.25">
      <c r="A13" s="253" t="s">
        <v>22</v>
      </c>
      <c r="B13" s="253"/>
      <c r="C13" s="253"/>
      <c r="D13" s="16"/>
      <c r="E13" s="106">
        <f>SUM(E11:E12)</f>
        <v>76000</v>
      </c>
      <c r="F13" s="106">
        <f>SUM(F11:F12)</f>
        <v>0</v>
      </c>
      <c r="G13" s="106">
        <f>E13+F13</f>
        <v>76000</v>
      </c>
    </row>
    <row r="14" spans="1:7" x14ac:dyDescent="0.25">
      <c r="A14" s="15">
        <v>2</v>
      </c>
      <c r="B14" s="254" t="s">
        <v>191</v>
      </c>
      <c r="C14" s="254"/>
      <c r="D14" s="254"/>
      <c r="E14" s="254"/>
      <c r="F14" s="254"/>
      <c r="G14" s="254"/>
    </row>
    <row r="15" spans="1:7" x14ac:dyDescent="0.25">
      <c r="A15" s="146" t="s">
        <v>218</v>
      </c>
      <c r="B15" s="52" t="s">
        <v>264</v>
      </c>
      <c r="C15" s="147" t="s">
        <v>263</v>
      </c>
      <c r="D15" s="146"/>
      <c r="E15" s="28">
        <v>269433.65999999997</v>
      </c>
      <c r="F15" s="28">
        <v>0</v>
      </c>
      <c r="G15" s="30">
        <f t="shared" ref="G15" si="1">SUM(E15:F15)</f>
        <v>269433.65999999997</v>
      </c>
    </row>
    <row r="16" spans="1:7" x14ac:dyDescent="0.25">
      <c r="A16" s="253" t="s">
        <v>22</v>
      </c>
      <c r="B16" s="253"/>
      <c r="C16" s="253"/>
      <c r="D16" s="16"/>
      <c r="E16" s="106">
        <f>E15</f>
        <v>269433.65999999997</v>
      </c>
      <c r="F16" s="106">
        <f>F15</f>
        <v>0</v>
      </c>
      <c r="G16" s="106">
        <f>G15</f>
        <v>269433.65999999997</v>
      </c>
    </row>
    <row r="17" spans="1:7" x14ac:dyDescent="0.25">
      <c r="A17" s="15">
        <v>3</v>
      </c>
      <c r="B17" s="254" t="s">
        <v>187</v>
      </c>
      <c r="C17" s="254"/>
      <c r="D17" s="254"/>
      <c r="E17" s="254"/>
      <c r="F17" s="254"/>
      <c r="G17" s="254"/>
    </row>
    <row r="18" spans="1:7" x14ac:dyDescent="0.25">
      <c r="A18" s="146" t="s">
        <v>4</v>
      </c>
      <c r="B18" s="147" t="s">
        <v>74</v>
      </c>
      <c r="C18" s="147" t="s">
        <v>74</v>
      </c>
      <c r="D18" s="146"/>
      <c r="E18" s="28">
        <v>0</v>
      </c>
      <c r="F18" s="28">
        <v>217373.57</v>
      </c>
      <c r="G18" s="30">
        <f t="shared" ref="G18" si="2">SUM(E18:F18)</f>
        <v>217373.57</v>
      </c>
    </row>
    <row r="19" spans="1:7" x14ac:dyDescent="0.25">
      <c r="A19" s="146" t="s">
        <v>5</v>
      </c>
      <c r="B19" s="33" t="s">
        <v>13</v>
      </c>
      <c r="C19" s="147" t="s">
        <v>189</v>
      </c>
      <c r="D19" s="146"/>
      <c r="E19" s="28">
        <f>8913.31+92.87</f>
        <v>9006.18</v>
      </c>
      <c r="F19" s="28">
        <v>0</v>
      </c>
      <c r="G19" s="30">
        <f t="shared" ref="G19:G20" si="3">SUM(E19:F19)</f>
        <v>9006.18</v>
      </c>
    </row>
    <row r="20" spans="1:7" s="1" customFormat="1" x14ac:dyDescent="0.25">
      <c r="A20" s="146" t="s">
        <v>6</v>
      </c>
      <c r="B20" s="33" t="s">
        <v>275</v>
      </c>
      <c r="C20" s="147" t="s">
        <v>164</v>
      </c>
      <c r="D20" s="146"/>
      <c r="E20" s="28">
        <v>17085.599999999999</v>
      </c>
      <c r="F20" s="28">
        <v>0</v>
      </c>
      <c r="G20" s="30">
        <f t="shared" si="3"/>
        <v>17085.599999999999</v>
      </c>
    </row>
    <row r="21" spans="1:7" x14ac:dyDescent="0.25">
      <c r="A21" s="253" t="s">
        <v>22</v>
      </c>
      <c r="B21" s="253"/>
      <c r="C21" s="253"/>
      <c r="D21" s="16"/>
      <c r="E21" s="106">
        <f>SUM(E18:E20)</f>
        <v>26091.78</v>
      </c>
      <c r="F21" s="106">
        <f>SUM(F18:F20)</f>
        <v>217373.57</v>
      </c>
      <c r="G21" s="18">
        <f>SUM(G18:G20)</f>
        <v>243465.35</v>
      </c>
    </row>
    <row r="22" spans="1:7" x14ac:dyDescent="0.25">
      <c r="A22" s="15">
        <v>4</v>
      </c>
      <c r="B22" s="254" t="s">
        <v>192</v>
      </c>
      <c r="C22" s="254"/>
      <c r="D22" s="254"/>
      <c r="E22" s="254"/>
      <c r="F22" s="254"/>
      <c r="G22" s="254"/>
    </row>
    <row r="23" spans="1:7" x14ac:dyDescent="0.25">
      <c r="A23" s="253" t="s">
        <v>22</v>
      </c>
      <c r="B23" s="253"/>
      <c r="C23" s="253"/>
      <c r="D23" s="16"/>
      <c r="E23" s="106">
        <v>0</v>
      </c>
      <c r="F23" s="106">
        <v>0</v>
      </c>
      <c r="G23" s="18">
        <v>0</v>
      </c>
    </row>
    <row r="24" spans="1:7" x14ac:dyDescent="0.25">
      <c r="A24" s="15">
        <v>5</v>
      </c>
      <c r="B24" s="267" t="s">
        <v>193</v>
      </c>
      <c r="C24" s="268"/>
      <c r="D24" s="268"/>
      <c r="E24" s="268"/>
      <c r="F24" s="268"/>
      <c r="G24" s="269"/>
    </row>
    <row r="25" spans="1:7" x14ac:dyDescent="0.25">
      <c r="A25" s="146" t="s">
        <v>32</v>
      </c>
      <c r="B25" s="33" t="s">
        <v>3</v>
      </c>
      <c r="C25" s="147" t="s">
        <v>19</v>
      </c>
      <c r="D25" s="146"/>
      <c r="E25" s="28">
        <f>61170.37+26346.3</f>
        <v>87516.67</v>
      </c>
      <c r="F25" s="28">
        <v>14912.81</v>
      </c>
      <c r="G25" s="28">
        <f>SUM(E25:F25)</f>
        <v>102429.48</v>
      </c>
    </row>
    <row r="26" spans="1:7" x14ac:dyDescent="0.25">
      <c r="A26" s="253" t="s">
        <v>22</v>
      </c>
      <c r="B26" s="253"/>
      <c r="C26" s="253"/>
      <c r="D26" s="16"/>
      <c r="E26" s="106">
        <f>E25</f>
        <v>87516.67</v>
      </c>
      <c r="F26" s="106">
        <f>F25</f>
        <v>14912.81</v>
      </c>
      <c r="G26" s="18">
        <f>SUM(E26:F26)</f>
        <v>102429.48</v>
      </c>
    </row>
    <row r="27" spans="1:7" x14ac:dyDescent="0.25">
      <c r="A27" s="255" t="s">
        <v>1</v>
      </c>
      <c r="B27" s="255"/>
      <c r="C27" s="255"/>
      <c r="D27" s="255"/>
      <c r="E27" s="39">
        <f>E13+E16+E21+E23+E26</f>
        <v>459042.10999999993</v>
      </c>
      <c r="F27" s="39">
        <f>F13+F16++F23+F26+F21</f>
        <v>232286.38</v>
      </c>
      <c r="G27" s="39">
        <f>G13+G16+G21+G23+G26</f>
        <v>691328.49</v>
      </c>
    </row>
    <row r="28" spans="1:7" x14ac:dyDescent="0.25">
      <c r="A28" s="10" t="s">
        <v>33</v>
      </c>
      <c r="B28" s="10"/>
      <c r="C28" s="11"/>
      <c r="D28" s="12"/>
      <c r="E28" s="108"/>
      <c r="F28" s="108"/>
      <c r="G28" s="108"/>
    </row>
    <row r="30" spans="1:7" x14ac:dyDescent="0.25">
      <c r="A30" s="258" t="s">
        <v>279</v>
      </c>
      <c r="B30" s="258"/>
      <c r="C30" s="258"/>
      <c r="D30" s="258"/>
      <c r="E30" s="258"/>
      <c r="F30" s="258"/>
      <c r="G30" s="258"/>
    </row>
    <row r="31" spans="1:7" ht="38.25" x14ac:dyDescent="0.25">
      <c r="A31" s="13" t="s">
        <v>27</v>
      </c>
      <c r="B31" s="13" t="s">
        <v>28</v>
      </c>
      <c r="C31" s="13" t="s">
        <v>29</v>
      </c>
      <c r="D31" s="13" t="s">
        <v>2</v>
      </c>
      <c r="E31" s="14" t="s">
        <v>276</v>
      </c>
      <c r="F31" s="14" t="s">
        <v>277</v>
      </c>
      <c r="G31" s="14" t="s">
        <v>278</v>
      </c>
    </row>
    <row r="32" spans="1:7" x14ac:dyDescent="0.25">
      <c r="A32" s="15">
        <v>1</v>
      </c>
      <c r="B32" s="254" t="s">
        <v>190</v>
      </c>
      <c r="C32" s="254"/>
      <c r="D32" s="254"/>
      <c r="E32" s="254"/>
      <c r="F32" s="254"/>
      <c r="G32" s="254"/>
    </row>
    <row r="33" spans="1:7" x14ac:dyDescent="0.25">
      <c r="A33" s="148" t="s">
        <v>48</v>
      </c>
      <c r="B33" s="33" t="s">
        <v>138</v>
      </c>
      <c r="C33" s="149" t="s">
        <v>280</v>
      </c>
      <c r="D33" s="148"/>
      <c r="E33" s="28">
        <v>0</v>
      </c>
      <c r="F33" s="28">
        <v>9540</v>
      </c>
      <c r="G33" s="30">
        <f t="shared" ref="G33" si="4">SUM(E33:F33)</f>
        <v>9540</v>
      </c>
    </row>
    <row r="34" spans="1:7" x14ac:dyDescent="0.25">
      <c r="A34" s="253" t="s">
        <v>22</v>
      </c>
      <c r="B34" s="253"/>
      <c r="C34" s="253"/>
      <c r="D34" s="16"/>
      <c r="E34" s="106">
        <f>SUM(E33:E33)</f>
        <v>0</v>
      </c>
      <c r="F34" s="106">
        <f>SUM(F33:F33)</f>
        <v>9540</v>
      </c>
      <c r="G34" s="106">
        <f>E34+F34</f>
        <v>9540</v>
      </c>
    </row>
    <row r="35" spans="1:7" x14ac:dyDescent="0.25">
      <c r="A35" s="15">
        <v>2</v>
      </c>
      <c r="B35" s="254" t="s">
        <v>191</v>
      </c>
      <c r="C35" s="254"/>
      <c r="D35" s="254"/>
      <c r="E35" s="254"/>
      <c r="F35" s="254"/>
      <c r="G35" s="254"/>
    </row>
    <row r="36" spans="1:7" x14ac:dyDescent="0.25">
      <c r="A36" s="148" t="s">
        <v>218</v>
      </c>
      <c r="B36" s="52" t="s">
        <v>264</v>
      </c>
      <c r="C36" s="149" t="s">
        <v>263</v>
      </c>
      <c r="D36" s="148"/>
      <c r="E36" s="28">
        <v>178162.83</v>
      </c>
      <c r="F36" s="28">
        <v>0</v>
      </c>
      <c r="G36" s="30">
        <f t="shared" ref="G36" si="5">SUM(E36:F36)</f>
        <v>178162.83</v>
      </c>
    </row>
    <row r="37" spans="1:7" x14ac:dyDescent="0.25">
      <c r="A37" s="253" t="s">
        <v>22</v>
      </c>
      <c r="B37" s="253"/>
      <c r="C37" s="253"/>
      <c r="D37" s="16"/>
      <c r="E37" s="106">
        <f>E36</f>
        <v>178162.83</v>
      </c>
      <c r="F37" s="106">
        <f>F36</f>
        <v>0</v>
      </c>
      <c r="G37" s="106">
        <f>G36</f>
        <v>178162.83</v>
      </c>
    </row>
    <row r="38" spans="1:7" x14ac:dyDescent="0.25">
      <c r="A38" s="15">
        <v>3</v>
      </c>
      <c r="B38" s="254" t="s">
        <v>187</v>
      </c>
      <c r="C38" s="254"/>
      <c r="D38" s="254"/>
      <c r="E38" s="254"/>
      <c r="F38" s="254"/>
      <c r="G38" s="254"/>
    </row>
    <row r="39" spans="1:7" x14ac:dyDescent="0.25">
      <c r="A39" s="148" t="s">
        <v>4</v>
      </c>
      <c r="B39" s="149" t="s">
        <v>74</v>
      </c>
      <c r="C39" s="149" t="s">
        <v>74</v>
      </c>
      <c r="D39" s="148"/>
      <c r="E39" s="28">
        <v>0</v>
      </c>
      <c r="F39" s="28">
        <f>19539.78+648.9+191.93+13299.93+2437.4+591.94+144268.44+4247.58+7429.08+49188.94+9007.6</f>
        <v>250851.52</v>
      </c>
      <c r="G39" s="30">
        <f t="shared" ref="G39" si="6">SUM(E39:F39)</f>
        <v>250851.52</v>
      </c>
    </row>
    <row r="40" spans="1:7" x14ac:dyDescent="0.25">
      <c r="A40" s="148" t="s">
        <v>5</v>
      </c>
      <c r="B40" s="33" t="s">
        <v>13</v>
      </c>
      <c r="C40" s="149" t="s">
        <v>189</v>
      </c>
      <c r="D40" s="148"/>
      <c r="E40" s="28">
        <v>0</v>
      </c>
      <c r="F40" s="28">
        <f>65.88+6322.89</f>
        <v>6388.77</v>
      </c>
      <c r="G40" s="30">
        <f t="shared" ref="G40:G42" si="7">SUM(E40:F40)</f>
        <v>6388.77</v>
      </c>
    </row>
    <row r="41" spans="1:7" x14ac:dyDescent="0.25">
      <c r="A41" s="148" t="s">
        <v>6</v>
      </c>
      <c r="B41" s="33" t="s">
        <v>7</v>
      </c>
      <c r="C41" s="149" t="s">
        <v>164</v>
      </c>
      <c r="D41" s="148"/>
      <c r="E41" s="28">
        <v>0</v>
      </c>
      <c r="F41" s="28">
        <f>1202.42+9434.24</f>
        <v>10636.66</v>
      </c>
      <c r="G41" s="30">
        <f t="shared" si="7"/>
        <v>10636.66</v>
      </c>
    </row>
    <row r="42" spans="1:7" s="1" customFormat="1" x14ac:dyDescent="0.25">
      <c r="A42" s="148" t="s">
        <v>18</v>
      </c>
      <c r="B42" s="149" t="s">
        <v>256</v>
      </c>
      <c r="C42" s="149" t="s">
        <v>262</v>
      </c>
      <c r="D42" s="148"/>
      <c r="E42" s="28">
        <f>2062.77+2062.77</f>
        <v>4125.54</v>
      </c>
      <c r="F42" s="28">
        <f>73351.33+73351.33</f>
        <v>146702.66</v>
      </c>
      <c r="G42" s="30">
        <f t="shared" si="7"/>
        <v>150828.20000000001</v>
      </c>
    </row>
    <row r="43" spans="1:7" x14ac:dyDescent="0.25">
      <c r="A43" s="253" t="s">
        <v>22</v>
      </c>
      <c r="B43" s="253"/>
      <c r="C43" s="253"/>
      <c r="D43" s="16"/>
      <c r="E43" s="106">
        <f>SUM(E39:E41)</f>
        <v>0</v>
      </c>
      <c r="F43" s="106">
        <f>SUM(F39:F42)</f>
        <v>414579.61</v>
      </c>
      <c r="G43" s="18">
        <f>SUM(G39:G42)</f>
        <v>418705.14999999997</v>
      </c>
    </row>
    <row r="44" spans="1:7" x14ac:dyDescent="0.25">
      <c r="A44" s="15">
        <v>4</v>
      </c>
      <c r="B44" s="254" t="s">
        <v>192</v>
      </c>
      <c r="C44" s="254"/>
      <c r="D44" s="254"/>
      <c r="E44" s="254"/>
      <c r="F44" s="254"/>
      <c r="G44" s="254"/>
    </row>
    <row r="45" spans="1:7" x14ac:dyDescent="0.25">
      <c r="A45" s="253" t="s">
        <v>22</v>
      </c>
      <c r="B45" s="253"/>
      <c r="C45" s="253"/>
      <c r="D45" s="16"/>
      <c r="E45" s="106">
        <v>0</v>
      </c>
      <c r="F45" s="106">
        <v>0</v>
      </c>
      <c r="G45" s="18">
        <v>0</v>
      </c>
    </row>
    <row r="46" spans="1:7" x14ac:dyDescent="0.25">
      <c r="A46" s="15">
        <v>5</v>
      </c>
      <c r="B46" s="267" t="s">
        <v>193</v>
      </c>
      <c r="C46" s="268"/>
      <c r="D46" s="268"/>
      <c r="E46" s="268"/>
      <c r="F46" s="268"/>
      <c r="G46" s="269"/>
    </row>
    <row r="47" spans="1:7" x14ac:dyDescent="0.25">
      <c r="A47" s="148" t="s">
        <v>32</v>
      </c>
      <c r="B47" s="33" t="s">
        <v>3</v>
      </c>
      <c r="C47" s="149" t="s">
        <v>19</v>
      </c>
      <c r="D47" s="148"/>
      <c r="E47" s="28">
        <v>0</v>
      </c>
      <c r="F47" s="28">
        <f>102261.61</f>
        <v>102261.61</v>
      </c>
      <c r="G47" s="28">
        <f>SUM(E47:F47)</f>
        <v>102261.61</v>
      </c>
    </row>
    <row r="48" spans="1:7" x14ac:dyDescent="0.25">
      <c r="A48" s="253" t="s">
        <v>22</v>
      </c>
      <c r="B48" s="253"/>
      <c r="C48" s="253"/>
      <c r="D48" s="16"/>
      <c r="E48" s="106">
        <f>E47</f>
        <v>0</v>
      </c>
      <c r="F48" s="106">
        <f>F47</f>
        <v>102261.61</v>
      </c>
      <c r="G48" s="18">
        <f>SUM(E48:F48)</f>
        <v>102261.61</v>
      </c>
    </row>
    <row r="49" spans="1:7" x14ac:dyDescent="0.25">
      <c r="A49" s="255" t="s">
        <v>1</v>
      </c>
      <c r="B49" s="255"/>
      <c r="C49" s="255"/>
      <c r="D49" s="255"/>
      <c r="E49" s="39">
        <f>E34+E37+E43+E45+E48</f>
        <v>178162.83</v>
      </c>
      <c r="F49" s="39">
        <f>F34+F37++F45+F48+F43</f>
        <v>526381.22</v>
      </c>
      <c r="G49" s="39">
        <f>G34+G37+G43+G45+G48</f>
        <v>708669.59</v>
      </c>
    </row>
    <row r="50" spans="1:7" x14ac:dyDescent="0.25">
      <c r="A50" s="10" t="s">
        <v>33</v>
      </c>
      <c r="B50" s="10"/>
      <c r="C50" s="11"/>
      <c r="D50" s="12"/>
      <c r="E50" s="108"/>
      <c r="F50" s="108"/>
      <c r="G50" s="108"/>
    </row>
    <row r="52" spans="1:7" x14ac:dyDescent="0.25">
      <c r="A52" s="258" t="s">
        <v>281</v>
      </c>
      <c r="B52" s="258"/>
      <c r="C52" s="258"/>
      <c r="D52" s="258"/>
      <c r="E52" s="258"/>
      <c r="F52" s="258"/>
      <c r="G52" s="258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276</v>
      </c>
      <c r="F53" s="14" t="s">
        <v>277</v>
      </c>
      <c r="G53" s="14" t="s">
        <v>278</v>
      </c>
    </row>
    <row r="54" spans="1:7" x14ac:dyDescent="0.25">
      <c r="A54" s="15">
        <v>1</v>
      </c>
      <c r="B54" s="254" t="s">
        <v>190</v>
      </c>
      <c r="C54" s="254"/>
      <c r="D54" s="254"/>
      <c r="E54" s="254"/>
      <c r="F54" s="254"/>
      <c r="G54" s="254"/>
    </row>
    <row r="55" spans="1:7" x14ac:dyDescent="0.25">
      <c r="A55" s="150" t="s">
        <v>48</v>
      </c>
      <c r="B55" s="33" t="s">
        <v>243</v>
      </c>
      <c r="C55" s="151" t="s">
        <v>282</v>
      </c>
      <c r="D55" s="150"/>
      <c r="E55" s="28">
        <v>0</v>
      </c>
      <c r="F55" s="28">
        <f>7125+375</f>
        <v>7500</v>
      </c>
      <c r="G55" s="30">
        <f t="shared" ref="G55" si="8">SUM(E55:F55)</f>
        <v>7500</v>
      </c>
    </row>
    <row r="56" spans="1:7" x14ac:dyDescent="0.25">
      <c r="A56" s="253" t="s">
        <v>22</v>
      </c>
      <c r="B56" s="253"/>
      <c r="C56" s="253"/>
      <c r="D56" s="16"/>
      <c r="E56" s="106">
        <f>SUM(E55:E55)</f>
        <v>0</v>
      </c>
      <c r="F56" s="106">
        <f>SUM(F55:F55)</f>
        <v>7500</v>
      </c>
      <c r="G56" s="106">
        <f>E56+F56</f>
        <v>7500</v>
      </c>
    </row>
    <row r="57" spans="1:7" x14ac:dyDescent="0.25">
      <c r="A57" s="15">
        <v>2</v>
      </c>
      <c r="B57" s="254" t="s">
        <v>191</v>
      </c>
      <c r="C57" s="254"/>
      <c r="D57" s="254"/>
      <c r="E57" s="254"/>
      <c r="F57" s="254"/>
      <c r="G57" s="254"/>
    </row>
    <row r="58" spans="1:7" x14ac:dyDescent="0.25">
      <c r="A58" s="253" t="s">
        <v>22</v>
      </c>
      <c r="B58" s="253"/>
      <c r="C58" s="253"/>
      <c r="D58" s="16"/>
      <c r="E58" s="106">
        <v>0</v>
      </c>
      <c r="F58" s="106">
        <v>0</v>
      </c>
      <c r="G58" s="106">
        <v>0</v>
      </c>
    </row>
    <row r="59" spans="1:7" x14ac:dyDescent="0.25">
      <c r="A59" s="15">
        <v>3</v>
      </c>
      <c r="B59" s="254" t="s">
        <v>187</v>
      </c>
      <c r="C59" s="254"/>
      <c r="D59" s="254"/>
      <c r="E59" s="254"/>
      <c r="F59" s="254"/>
      <c r="G59" s="254"/>
    </row>
    <row r="60" spans="1:7" x14ac:dyDescent="0.25">
      <c r="A60" s="150" t="s">
        <v>4</v>
      </c>
      <c r="B60" s="151" t="s">
        <v>74</v>
      </c>
      <c r="C60" s="151" t="s">
        <v>74</v>
      </c>
      <c r="D60" s="150"/>
      <c r="E60" s="28">
        <v>0</v>
      </c>
      <c r="F60" s="28">
        <f>20036.71+448.78+949.5+2505.72+557.12+2437.4+15747.33+9020.26+49877.72+7429.08+3904.42+144638.13</f>
        <v>257552.17</v>
      </c>
      <c r="G60" s="30">
        <f t="shared" ref="G60" si="9">SUM(E60:F60)</f>
        <v>257552.17</v>
      </c>
    </row>
    <row r="61" spans="1:7" x14ac:dyDescent="0.25">
      <c r="A61" s="150" t="s">
        <v>5</v>
      </c>
      <c r="B61" s="33" t="s">
        <v>13</v>
      </c>
      <c r="C61" s="151" t="s">
        <v>189</v>
      </c>
      <c r="D61" s="150"/>
      <c r="E61" s="28">
        <v>0</v>
      </c>
      <c r="F61" s="28">
        <f>3392.31+35.34</f>
        <v>3427.65</v>
      </c>
      <c r="G61" s="30">
        <f t="shared" ref="G61:G63" si="10">SUM(E61:F61)</f>
        <v>3427.65</v>
      </c>
    </row>
    <row r="62" spans="1:7" x14ac:dyDescent="0.25">
      <c r="A62" s="150" t="s">
        <v>6</v>
      </c>
      <c r="B62" s="33" t="s">
        <v>7</v>
      </c>
      <c r="C62" s="151" t="s">
        <v>164</v>
      </c>
      <c r="D62" s="150"/>
      <c r="E62" s="28">
        <v>0</v>
      </c>
      <c r="F62" s="28">
        <v>9434.24</v>
      </c>
      <c r="G62" s="30">
        <f t="shared" si="10"/>
        <v>9434.24</v>
      </c>
    </row>
    <row r="63" spans="1:7" x14ac:dyDescent="0.25">
      <c r="A63" s="150" t="s">
        <v>18</v>
      </c>
      <c r="B63" s="151" t="s">
        <v>256</v>
      </c>
      <c r="C63" s="151" t="s">
        <v>262</v>
      </c>
      <c r="D63" s="150"/>
      <c r="E63" s="28">
        <v>0</v>
      </c>
      <c r="F63" s="28">
        <f>73351.33+73351.33</f>
        <v>146702.66</v>
      </c>
      <c r="G63" s="30">
        <f t="shared" si="10"/>
        <v>146702.66</v>
      </c>
    </row>
    <row r="64" spans="1:7" s="1" customFormat="1" x14ac:dyDescent="0.25">
      <c r="A64" s="150" t="s">
        <v>23</v>
      </c>
      <c r="B64" s="33" t="s">
        <v>275</v>
      </c>
      <c r="C64" s="151" t="s">
        <v>164</v>
      </c>
      <c r="D64" s="150"/>
      <c r="E64" s="28">
        <v>0</v>
      </c>
      <c r="F64" s="28">
        <v>10368</v>
      </c>
      <c r="G64" s="30">
        <f t="shared" ref="G64" si="11">SUM(E64:F64)</f>
        <v>10368</v>
      </c>
    </row>
    <row r="65" spans="1:7" x14ac:dyDescent="0.25">
      <c r="A65" s="253" t="s">
        <v>22</v>
      </c>
      <c r="B65" s="253"/>
      <c r="C65" s="253"/>
      <c r="D65" s="16"/>
      <c r="E65" s="106">
        <f>SUM(E60:E64)</f>
        <v>0</v>
      </c>
      <c r="F65" s="106">
        <f>SUM(F60:F64)</f>
        <v>427484.72</v>
      </c>
      <c r="G65" s="18">
        <f>SUM(G60:G64)</f>
        <v>427484.72</v>
      </c>
    </row>
    <row r="66" spans="1:7" x14ac:dyDescent="0.25">
      <c r="A66" s="15">
        <v>4</v>
      </c>
      <c r="B66" s="254" t="s">
        <v>192</v>
      </c>
      <c r="C66" s="254"/>
      <c r="D66" s="254"/>
      <c r="E66" s="254"/>
      <c r="F66" s="254"/>
      <c r="G66" s="254"/>
    </row>
    <row r="67" spans="1:7" x14ac:dyDescent="0.25">
      <c r="A67" s="253" t="s">
        <v>22</v>
      </c>
      <c r="B67" s="253"/>
      <c r="C67" s="253"/>
      <c r="D67" s="16"/>
      <c r="E67" s="106">
        <v>0</v>
      </c>
      <c r="F67" s="106">
        <v>0</v>
      </c>
      <c r="G67" s="18">
        <v>0</v>
      </c>
    </row>
    <row r="68" spans="1:7" x14ac:dyDescent="0.25">
      <c r="A68" s="15">
        <v>5</v>
      </c>
      <c r="B68" s="267" t="s">
        <v>193</v>
      </c>
      <c r="C68" s="268"/>
      <c r="D68" s="268"/>
      <c r="E68" s="268"/>
      <c r="F68" s="268"/>
      <c r="G68" s="269"/>
    </row>
    <row r="69" spans="1:7" x14ac:dyDescent="0.25">
      <c r="A69" s="150" t="s">
        <v>32</v>
      </c>
      <c r="B69" s="33" t="s">
        <v>3</v>
      </c>
      <c r="C69" s="151" t="s">
        <v>19</v>
      </c>
      <c r="D69" s="150"/>
      <c r="E69" s="28">
        <v>0</v>
      </c>
      <c r="F69" s="28">
        <v>51210.13</v>
      </c>
      <c r="G69" s="28">
        <f>SUM(E69:F69)</f>
        <v>51210.13</v>
      </c>
    </row>
    <row r="70" spans="1:7" x14ac:dyDescent="0.25">
      <c r="A70" s="253" t="s">
        <v>22</v>
      </c>
      <c r="B70" s="253"/>
      <c r="C70" s="253"/>
      <c r="D70" s="16"/>
      <c r="E70" s="106">
        <f>E69</f>
        <v>0</v>
      </c>
      <c r="F70" s="106">
        <f>F69</f>
        <v>51210.13</v>
      </c>
      <c r="G70" s="18">
        <f>SUM(E70:F70)</f>
        <v>51210.13</v>
      </c>
    </row>
    <row r="71" spans="1:7" x14ac:dyDescent="0.25">
      <c r="A71" s="255" t="s">
        <v>1</v>
      </c>
      <c r="B71" s="255"/>
      <c r="C71" s="255"/>
      <c r="D71" s="255"/>
      <c r="E71" s="39">
        <f>E56+E58+E65+E67+E70</f>
        <v>0</v>
      </c>
      <c r="F71" s="39">
        <f>F56+F58++F67+F70+F65</f>
        <v>486194.85</v>
      </c>
      <c r="G71" s="39">
        <f>G56+G58+G65+G67+G70</f>
        <v>486194.85</v>
      </c>
    </row>
    <row r="72" spans="1:7" x14ac:dyDescent="0.25">
      <c r="A72" s="10" t="s">
        <v>33</v>
      </c>
      <c r="B72" s="10"/>
      <c r="C72" s="11"/>
      <c r="D72" s="12"/>
      <c r="E72" s="108"/>
      <c r="F72" s="108"/>
      <c r="G72" s="108"/>
    </row>
    <row r="74" spans="1:7" x14ac:dyDescent="0.25">
      <c r="A74" s="258" t="s">
        <v>283</v>
      </c>
      <c r="B74" s="258"/>
      <c r="C74" s="258"/>
      <c r="D74" s="258"/>
      <c r="E74" s="258"/>
      <c r="F74" s="258"/>
      <c r="G74" s="258"/>
    </row>
    <row r="75" spans="1:7" ht="38.25" x14ac:dyDescent="0.25">
      <c r="A75" s="13" t="s">
        <v>27</v>
      </c>
      <c r="B75" s="13" t="s">
        <v>28</v>
      </c>
      <c r="C75" s="13" t="s">
        <v>29</v>
      </c>
      <c r="D75" s="13" t="s">
        <v>2</v>
      </c>
      <c r="E75" s="14" t="s">
        <v>276</v>
      </c>
      <c r="F75" s="14" t="s">
        <v>277</v>
      </c>
      <c r="G75" s="14" t="s">
        <v>278</v>
      </c>
    </row>
    <row r="76" spans="1:7" x14ac:dyDescent="0.25">
      <c r="A76" s="15">
        <v>1</v>
      </c>
      <c r="B76" s="254" t="s">
        <v>190</v>
      </c>
      <c r="C76" s="254"/>
      <c r="D76" s="254"/>
      <c r="E76" s="254"/>
      <c r="F76" s="254"/>
      <c r="G76" s="254"/>
    </row>
    <row r="77" spans="1:7" x14ac:dyDescent="0.25">
      <c r="A77" s="152" t="s">
        <v>48</v>
      </c>
      <c r="B77" s="274" t="s">
        <v>138</v>
      </c>
      <c r="C77" s="153" t="s">
        <v>284</v>
      </c>
      <c r="D77" s="152"/>
      <c r="E77" s="28">
        <v>0</v>
      </c>
      <c r="F77" s="28">
        <v>66856.06</v>
      </c>
      <c r="G77" s="30">
        <f t="shared" ref="G77:G78" si="12">SUM(E77:F77)</f>
        <v>66856.06</v>
      </c>
    </row>
    <row r="78" spans="1:7" s="1" customFormat="1" x14ac:dyDescent="0.25">
      <c r="A78" s="152" t="s">
        <v>70</v>
      </c>
      <c r="B78" s="275"/>
      <c r="C78" s="153" t="s">
        <v>64</v>
      </c>
      <c r="D78" s="152"/>
      <c r="E78" s="28">
        <v>0</v>
      </c>
      <c r="F78" s="28">
        <v>106578.4</v>
      </c>
      <c r="G78" s="30">
        <f t="shared" si="12"/>
        <v>106578.4</v>
      </c>
    </row>
    <row r="79" spans="1:7" x14ac:dyDescent="0.25">
      <c r="A79" s="253" t="s">
        <v>22</v>
      </c>
      <c r="B79" s="253"/>
      <c r="C79" s="253"/>
      <c r="D79" s="16"/>
      <c r="E79" s="106">
        <f>SUM(E77:E77)</f>
        <v>0</v>
      </c>
      <c r="F79" s="106">
        <f>SUM(F77:F78)</f>
        <v>173434.46</v>
      </c>
      <c r="G79" s="106">
        <f>E79+F79</f>
        <v>173434.46</v>
      </c>
    </row>
    <row r="80" spans="1:7" x14ac:dyDescent="0.25">
      <c r="A80" s="15">
        <v>2</v>
      </c>
      <c r="B80" s="254" t="s">
        <v>191</v>
      </c>
      <c r="C80" s="254"/>
      <c r="D80" s="254"/>
      <c r="E80" s="254"/>
      <c r="F80" s="254"/>
      <c r="G80" s="254"/>
    </row>
    <row r="81" spans="1:7" x14ac:dyDescent="0.25">
      <c r="A81" s="253" t="s">
        <v>22</v>
      </c>
      <c r="B81" s="253"/>
      <c r="C81" s="253"/>
      <c r="D81" s="16"/>
      <c r="E81" s="106">
        <v>0</v>
      </c>
      <c r="F81" s="106">
        <v>0</v>
      </c>
      <c r="G81" s="106">
        <v>0</v>
      </c>
    </row>
    <row r="82" spans="1:7" x14ac:dyDescent="0.25">
      <c r="A82" s="15">
        <v>3</v>
      </c>
      <c r="B82" s="254" t="s">
        <v>187</v>
      </c>
      <c r="C82" s="254"/>
      <c r="D82" s="254"/>
      <c r="E82" s="254"/>
      <c r="F82" s="254"/>
      <c r="G82" s="254"/>
    </row>
    <row r="83" spans="1:7" x14ac:dyDescent="0.25">
      <c r="A83" s="152" t="s">
        <v>4</v>
      </c>
      <c r="B83" s="153" t="s">
        <v>74</v>
      </c>
      <c r="C83" s="153" t="s">
        <v>74</v>
      </c>
      <c r="D83" s="152"/>
      <c r="E83" s="28">
        <v>0</v>
      </c>
      <c r="F83" s="28">
        <f>20178.18+28949.2+2402.58+661.58+115243.01+4241.13+7429.08+49677.3+9007.6</f>
        <v>237789.66</v>
      </c>
      <c r="G83" s="30">
        <f t="shared" ref="G83" si="13">SUM(E83:F83)</f>
        <v>237789.66</v>
      </c>
    </row>
    <row r="84" spans="1:7" x14ac:dyDescent="0.25">
      <c r="A84" s="152" t="s">
        <v>5</v>
      </c>
      <c r="B84" s="33" t="s">
        <v>13</v>
      </c>
      <c r="C84" s="153" t="s">
        <v>189</v>
      </c>
      <c r="D84" s="152"/>
      <c r="E84" s="28">
        <v>0</v>
      </c>
      <c r="F84" s="28">
        <v>0</v>
      </c>
      <c r="G84" s="30">
        <f t="shared" ref="G84:G86" si="14">SUM(E84:F84)</f>
        <v>0</v>
      </c>
    </row>
    <row r="85" spans="1:7" x14ac:dyDescent="0.25">
      <c r="A85" s="152" t="s">
        <v>6</v>
      </c>
      <c r="B85" s="33" t="s">
        <v>7</v>
      </c>
      <c r="C85" s="153" t="s">
        <v>164</v>
      </c>
      <c r="D85" s="152"/>
      <c r="E85" s="28">
        <v>0</v>
      </c>
      <c r="F85" s="28">
        <f>9200.96+233.28</f>
        <v>9434.24</v>
      </c>
      <c r="G85" s="30">
        <f t="shared" si="14"/>
        <v>9434.24</v>
      </c>
    </row>
    <row r="86" spans="1:7" x14ac:dyDescent="0.25">
      <c r="A86" s="152" t="s">
        <v>18</v>
      </c>
      <c r="B86" s="153" t="s">
        <v>256</v>
      </c>
      <c r="C86" s="153" t="s">
        <v>262</v>
      </c>
      <c r="D86" s="152"/>
      <c r="E86" s="28">
        <v>0</v>
      </c>
      <c r="F86" s="28">
        <f>71288.56+2062.77+71288.56+2062.77</f>
        <v>146702.66</v>
      </c>
      <c r="G86" s="30">
        <f t="shared" si="14"/>
        <v>146702.66</v>
      </c>
    </row>
    <row r="87" spans="1:7" x14ac:dyDescent="0.25">
      <c r="A87" s="152" t="s">
        <v>23</v>
      </c>
      <c r="B87" s="33" t="s">
        <v>275</v>
      </c>
      <c r="C87" s="153" t="s">
        <v>164</v>
      </c>
      <c r="D87" s="152"/>
      <c r="E87" s="28">
        <v>0</v>
      </c>
      <c r="F87" s="28">
        <f>107136+13056+13440</f>
        <v>133632</v>
      </c>
      <c r="G87" s="30">
        <f t="shared" ref="G87" si="15">SUM(E87:F87)</f>
        <v>133632</v>
      </c>
    </row>
    <row r="88" spans="1:7" x14ac:dyDescent="0.25">
      <c r="A88" s="253" t="s">
        <v>22</v>
      </c>
      <c r="B88" s="253"/>
      <c r="C88" s="253"/>
      <c r="D88" s="16"/>
      <c r="E88" s="106">
        <f>SUM(E83:E87)</f>
        <v>0</v>
      </c>
      <c r="F88" s="106">
        <f>SUM(F83:F87)</f>
        <v>527558.56000000006</v>
      </c>
      <c r="G88" s="18">
        <f>SUM(G83:G87)</f>
        <v>527558.56000000006</v>
      </c>
    </row>
    <row r="89" spans="1:7" x14ac:dyDescent="0.25">
      <c r="A89" s="15">
        <v>4</v>
      </c>
      <c r="B89" s="254" t="s">
        <v>192</v>
      </c>
      <c r="C89" s="254"/>
      <c r="D89" s="254"/>
      <c r="E89" s="254"/>
      <c r="F89" s="254"/>
      <c r="G89" s="254"/>
    </row>
    <row r="90" spans="1:7" x14ac:dyDescent="0.25">
      <c r="A90" s="253" t="s">
        <v>22</v>
      </c>
      <c r="B90" s="253"/>
      <c r="C90" s="253"/>
      <c r="D90" s="16"/>
      <c r="E90" s="106">
        <v>0</v>
      </c>
      <c r="F90" s="106">
        <v>0</v>
      </c>
      <c r="G90" s="18">
        <v>0</v>
      </c>
    </row>
    <row r="91" spans="1:7" x14ac:dyDescent="0.25">
      <c r="A91" s="15">
        <v>5</v>
      </c>
      <c r="B91" s="267" t="s">
        <v>193</v>
      </c>
      <c r="C91" s="268"/>
      <c r="D91" s="268"/>
      <c r="E91" s="268"/>
      <c r="F91" s="268"/>
      <c r="G91" s="269"/>
    </row>
    <row r="92" spans="1:7" x14ac:dyDescent="0.25">
      <c r="A92" s="152" t="s">
        <v>32</v>
      </c>
      <c r="B92" s="33" t="s">
        <v>3</v>
      </c>
      <c r="C92" s="153" t="s">
        <v>19</v>
      </c>
      <c r="D92" s="152"/>
      <c r="E92" s="28">
        <v>0</v>
      </c>
      <c r="F92" s="28">
        <f>46744.82</f>
        <v>46744.82</v>
      </c>
      <c r="G92" s="28">
        <f>SUM(E92:F92)</f>
        <v>46744.82</v>
      </c>
    </row>
    <row r="93" spans="1:7" x14ac:dyDescent="0.25">
      <c r="A93" s="253" t="s">
        <v>22</v>
      </c>
      <c r="B93" s="253"/>
      <c r="C93" s="253"/>
      <c r="D93" s="16"/>
      <c r="E93" s="106">
        <f>E92</f>
        <v>0</v>
      </c>
      <c r="F93" s="106">
        <f>F92</f>
        <v>46744.82</v>
      </c>
      <c r="G93" s="18">
        <f>SUM(E93:F93)</f>
        <v>46744.82</v>
      </c>
    </row>
    <row r="94" spans="1:7" x14ac:dyDescent="0.25">
      <c r="A94" s="255" t="s">
        <v>1</v>
      </c>
      <c r="B94" s="255"/>
      <c r="C94" s="255"/>
      <c r="D94" s="255"/>
      <c r="E94" s="39">
        <f>E79+E81+E88+E90+E93</f>
        <v>0</v>
      </c>
      <c r="F94" s="39">
        <f>F79+F81++F90+F93+F88</f>
        <v>747737.84000000008</v>
      </c>
      <c r="G94" s="39">
        <f>G79+G81+G88+G90+G93</f>
        <v>747737.84</v>
      </c>
    </row>
    <row r="95" spans="1:7" x14ac:dyDescent="0.25">
      <c r="A95" s="10" t="s">
        <v>33</v>
      </c>
      <c r="B95" s="10"/>
      <c r="C95" s="11"/>
      <c r="D95" s="12"/>
      <c r="E95" s="108"/>
      <c r="F95" s="108"/>
      <c r="G95" s="108"/>
    </row>
    <row r="97" spans="1:7" x14ac:dyDescent="0.25">
      <c r="A97" s="258" t="s">
        <v>285</v>
      </c>
      <c r="B97" s="258"/>
      <c r="C97" s="258"/>
      <c r="D97" s="258"/>
      <c r="E97" s="258"/>
      <c r="F97" s="258"/>
      <c r="G97" s="258"/>
    </row>
    <row r="98" spans="1:7" ht="38.25" x14ac:dyDescent="0.25">
      <c r="A98" s="13" t="s">
        <v>27</v>
      </c>
      <c r="B98" s="13" t="s">
        <v>28</v>
      </c>
      <c r="C98" s="13" t="s">
        <v>29</v>
      </c>
      <c r="D98" s="13" t="s">
        <v>2</v>
      </c>
      <c r="E98" s="14" t="s">
        <v>276</v>
      </c>
      <c r="F98" s="14" t="s">
        <v>277</v>
      </c>
      <c r="G98" s="14" t="s">
        <v>278</v>
      </c>
    </row>
    <row r="99" spans="1:7" x14ac:dyDescent="0.25">
      <c r="A99" s="15">
        <v>1</v>
      </c>
      <c r="B99" s="254" t="s">
        <v>190</v>
      </c>
      <c r="C99" s="254"/>
      <c r="D99" s="254"/>
      <c r="E99" s="254"/>
      <c r="F99" s="254"/>
      <c r="G99" s="254"/>
    </row>
    <row r="100" spans="1:7" x14ac:dyDescent="0.25">
      <c r="A100" s="154" t="s">
        <v>48</v>
      </c>
      <c r="B100" s="158" t="s">
        <v>216</v>
      </c>
      <c r="C100" s="155" t="s">
        <v>286</v>
      </c>
      <c r="D100" s="154"/>
      <c r="E100" s="28">
        <v>134107.70000000001</v>
      </c>
      <c r="F100" s="28">
        <v>0</v>
      </c>
      <c r="G100" s="30">
        <f t="shared" ref="G100:G101" si="16">SUM(E100:F100)</f>
        <v>134107.70000000001</v>
      </c>
    </row>
    <row r="101" spans="1:7" x14ac:dyDescent="0.25">
      <c r="A101" s="154" t="s">
        <v>70</v>
      </c>
      <c r="B101" s="33" t="s">
        <v>287</v>
      </c>
      <c r="C101" s="155" t="s">
        <v>288</v>
      </c>
      <c r="D101" s="154"/>
      <c r="E101" s="28">
        <v>0</v>
      </c>
      <c r="F101" s="28">
        <v>40000</v>
      </c>
      <c r="G101" s="30">
        <f t="shared" si="16"/>
        <v>40000</v>
      </c>
    </row>
    <row r="102" spans="1:7" x14ac:dyDescent="0.25">
      <c r="A102" s="253" t="s">
        <v>22</v>
      </c>
      <c r="B102" s="253"/>
      <c r="C102" s="253"/>
      <c r="D102" s="16"/>
      <c r="E102" s="106">
        <f>SUM(E100:E100)</f>
        <v>134107.70000000001</v>
      </c>
      <c r="F102" s="106">
        <f>SUM(F100:F101)</f>
        <v>40000</v>
      </c>
      <c r="G102" s="106">
        <f>E102+F102</f>
        <v>174107.7</v>
      </c>
    </row>
    <row r="103" spans="1:7" x14ac:dyDescent="0.25">
      <c r="A103" s="15">
        <v>2</v>
      </c>
      <c r="B103" s="254" t="s">
        <v>191</v>
      </c>
      <c r="C103" s="254"/>
      <c r="D103" s="254"/>
      <c r="E103" s="254"/>
      <c r="F103" s="254"/>
      <c r="G103" s="254"/>
    </row>
    <row r="104" spans="1:7" s="1" customFormat="1" x14ac:dyDescent="0.25">
      <c r="A104" s="154" t="s">
        <v>218</v>
      </c>
      <c r="B104" s="52" t="s">
        <v>264</v>
      </c>
      <c r="C104" s="155" t="s">
        <v>263</v>
      </c>
      <c r="D104" s="154"/>
      <c r="E104" s="28">
        <v>0</v>
      </c>
      <c r="F104" s="28">
        <v>343684.47</v>
      </c>
      <c r="G104" s="30">
        <f t="shared" ref="G104:G105" si="17">SUM(E104:F104)</f>
        <v>343684.47</v>
      </c>
    </row>
    <row r="105" spans="1:7" s="1" customFormat="1" x14ac:dyDescent="0.25">
      <c r="A105" s="154" t="s">
        <v>221</v>
      </c>
      <c r="B105" s="52" t="s">
        <v>290</v>
      </c>
      <c r="C105" s="155" t="s">
        <v>289</v>
      </c>
      <c r="D105" s="154"/>
      <c r="E105" s="28">
        <v>0</v>
      </c>
      <c r="F105" s="28">
        <v>235784.64</v>
      </c>
      <c r="G105" s="30">
        <f t="shared" si="17"/>
        <v>235784.64</v>
      </c>
    </row>
    <row r="106" spans="1:7" x14ac:dyDescent="0.25">
      <c r="A106" s="253" t="s">
        <v>22</v>
      </c>
      <c r="B106" s="253"/>
      <c r="C106" s="253"/>
      <c r="D106" s="16"/>
      <c r="E106" s="106">
        <f>SUM(E104:E105)</f>
        <v>0</v>
      </c>
      <c r="F106" s="106">
        <f>SUM(F104:F105)</f>
        <v>579469.11</v>
      </c>
      <c r="G106" s="106">
        <f>SUM(G104:G105)</f>
        <v>579469.11</v>
      </c>
    </row>
    <row r="107" spans="1:7" x14ac:dyDescent="0.25">
      <c r="A107" s="15">
        <v>3</v>
      </c>
      <c r="B107" s="254" t="s">
        <v>187</v>
      </c>
      <c r="C107" s="254"/>
      <c r="D107" s="254"/>
      <c r="E107" s="254"/>
      <c r="F107" s="254"/>
      <c r="G107" s="254"/>
    </row>
    <row r="108" spans="1:7" x14ac:dyDescent="0.25">
      <c r="A108" s="154" t="s">
        <v>4</v>
      </c>
      <c r="B108" s="155" t="s">
        <v>74</v>
      </c>
      <c r="C108" s="155" t="s">
        <v>74</v>
      </c>
      <c r="D108" s="154"/>
      <c r="E108" s="28">
        <v>0</v>
      </c>
      <c r="F108" s="28">
        <f>40.14+28949.2+126.6+2472.22+591.94+7429.08+114250.44+4034.82+49249.94+8918.98</f>
        <v>216063.36000000002</v>
      </c>
      <c r="G108" s="30">
        <f t="shared" ref="G108" si="18">SUM(E108:F108)</f>
        <v>216063.36000000002</v>
      </c>
    </row>
    <row r="109" spans="1:7" x14ac:dyDescent="0.25">
      <c r="A109" s="154" t="s">
        <v>5</v>
      </c>
      <c r="B109" s="33" t="s">
        <v>13</v>
      </c>
      <c r="C109" s="155" t="s">
        <v>189</v>
      </c>
      <c r="D109" s="154"/>
      <c r="E109" s="28">
        <v>0</v>
      </c>
      <c r="F109" s="28">
        <f>3798.41+1560.44+39.58+16.26</f>
        <v>5414.6900000000005</v>
      </c>
      <c r="G109" s="30">
        <f t="shared" ref="G109:G111" si="19">SUM(E109:F109)</f>
        <v>5414.6900000000005</v>
      </c>
    </row>
    <row r="110" spans="1:7" x14ac:dyDescent="0.25">
      <c r="A110" s="154" t="s">
        <v>6</v>
      </c>
      <c r="B110" s="33" t="s">
        <v>7</v>
      </c>
      <c r="C110" s="155" t="s">
        <v>164</v>
      </c>
      <c r="D110" s="154"/>
      <c r="E110" s="28">
        <v>0</v>
      </c>
      <c r="F110" s="28">
        <f>233.28+9200.96</f>
        <v>9434.24</v>
      </c>
      <c r="G110" s="30">
        <f t="shared" si="19"/>
        <v>9434.24</v>
      </c>
    </row>
    <row r="111" spans="1:7" x14ac:dyDescent="0.25">
      <c r="A111" s="154" t="s">
        <v>18</v>
      </c>
      <c r="B111" s="155" t="s">
        <v>256</v>
      </c>
      <c r="C111" s="155" t="s">
        <v>262</v>
      </c>
      <c r="D111" s="154"/>
      <c r="E111" s="28">
        <v>0</v>
      </c>
      <c r="F111" s="28">
        <f>71288.56+2062.77+71288.56+2062.77</f>
        <v>146702.66</v>
      </c>
      <c r="G111" s="30">
        <f t="shared" si="19"/>
        <v>146702.66</v>
      </c>
    </row>
    <row r="112" spans="1:7" x14ac:dyDescent="0.25">
      <c r="A112" s="154" t="s">
        <v>23</v>
      </c>
      <c r="B112" s="33" t="s">
        <v>275</v>
      </c>
      <c r="C112" s="155" t="s">
        <v>164</v>
      </c>
      <c r="D112" s="154"/>
      <c r="E112" s="28">
        <v>0</v>
      </c>
      <c r="F112" s="28">
        <v>103680</v>
      </c>
      <c r="G112" s="30">
        <f t="shared" ref="G112" si="20">SUM(E112:F112)</f>
        <v>103680</v>
      </c>
    </row>
    <row r="113" spans="1:7" x14ac:dyDescent="0.25">
      <c r="A113" s="253" t="s">
        <v>22</v>
      </c>
      <c r="B113" s="253"/>
      <c r="C113" s="253"/>
      <c r="D113" s="16"/>
      <c r="E113" s="106">
        <f>SUM(E108:E112)</f>
        <v>0</v>
      </c>
      <c r="F113" s="106">
        <f>SUM(F108:F112)</f>
        <v>481294.95</v>
      </c>
      <c r="G113" s="18">
        <f>SUM(G108:G112)</f>
        <v>481294.95</v>
      </c>
    </row>
    <row r="114" spans="1:7" x14ac:dyDescent="0.25">
      <c r="A114" s="15">
        <v>4</v>
      </c>
      <c r="B114" s="254" t="s">
        <v>192</v>
      </c>
      <c r="C114" s="254"/>
      <c r="D114" s="254"/>
      <c r="E114" s="254"/>
      <c r="F114" s="254"/>
      <c r="G114" s="254"/>
    </row>
    <row r="115" spans="1:7" x14ac:dyDescent="0.25">
      <c r="A115" s="253" t="s">
        <v>22</v>
      </c>
      <c r="B115" s="253"/>
      <c r="C115" s="253"/>
      <c r="D115" s="16"/>
      <c r="E115" s="106">
        <v>0</v>
      </c>
      <c r="F115" s="106">
        <v>0</v>
      </c>
      <c r="G115" s="18">
        <v>0</v>
      </c>
    </row>
    <row r="116" spans="1:7" x14ac:dyDescent="0.25">
      <c r="A116" s="15">
        <v>5</v>
      </c>
      <c r="B116" s="267" t="s">
        <v>193</v>
      </c>
      <c r="C116" s="268"/>
      <c r="D116" s="268"/>
      <c r="E116" s="268"/>
      <c r="F116" s="268"/>
      <c r="G116" s="269"/>
    </row>
    <row r="117" spans="1:7" x14ac:dyDescent="0.25">
      <c r="A117" s="154" t="s">
        <v>32</v>
      </c>
      <c r="B117" s="33" t="s">
        <v>3</v>
      </c>
      <c r="C117" s="155" t="s">
        <v>19</v>
      </c>
      <c r="D117" s="154"/>
      <c r="E117" s="28">
        <v>0</v>
      </c>
      <c r="F117" s="28">
        <f>26655.52</f>
        <v>26655.52</v>
      </c>
      <c r="G117" s="28">
        <f>SUM(E117:F117)</f>
        <v>26655.52</v>
      </c>
    </row>
    <row r="118" spans="1:7" x14ac:dyDescent="0.25">
      <c r="A118" s="253" t="s">
        <v>22</v>
      </c>
      <c r="B118" s="253"/>
      <c r="C118" s="253"/>
      <c r="D118" s="16"/>
      <c r="E118" s="106">
        <f>E117</f>
        <v>0</v>
      </c>
      <c r="F118" s="106">
        <f>F117</f>
        <v>26655.52</v>
      </c>
      <c r="G118" s="18">
        <f>SUM(E118:F118)</f>
        <v>26655.52</v>
      </c>
    </row>
    <row r="119" spans="1:7" x14ac:dyDescent="0.25">
      <c r="A119" s="255" t="s">
        <v>1</v>
      </c>
      <c r="B119" s="255"/>
      <c r="C119" s="255"/>
      <c r="D119" s="255"/>
      <c r="E119" s="39">
        <f>E102+E106+E113+E115+E118</f>
        <v>134107.70000000001</v>
      </c>
      <c r="F119" s="39">
        <f>F102+F106++F115+F118+F113</f>
        <v>1127419.58</v>
      </c>
      <c r="G119" s="39">
        <f>G102+G106+G113+G115+G118</f>
        <v>1261527.28</v>
      </c>
    </row>
    <row r="120" spans="1:7" x14ac:dyDescent="0.25">
      <c r="A120" s="10" t="s">
        <v>33</v>
      </c>
      <c r="B120" s="10"/>
      <c r="C120" s="11"/>
      <c r="D120" s="12"/>
      <c r="E120" s="108"/>
      <c r="F120" s="108"/>
      <c r="G120" s="108"/>
    </row>
    <row r="122" spans="1:7" x14ac:dyDescent="0.25">
      <c r="A122" s="258" t="s">
        <v>291</v>
      </c>
      <c r="B122" s="258"/>
      <c r="C122" s="258"/>
      <c r="D122" s="258"/>
      <c r="E122" s="258"/>
      <c r="F122" s="258"/>
      <c r="G122" s="258"/>
    </row>
    <row r="123" spans="1:7" ht="38.25" x14ac:dyDescent="0.25">
      <c r="A123" s="13" t="s">
        <v>27</v>
      </c>
      <c r="B123" s="13" t="s">
        <v>28</v>
      </c>
      <c r="C123" s="13" t="s">
        <v>29</v>
      </c>
      <c r="D123" s="13" t="s">
        <v>2</v>
      </c>
      <c r="E123" s="14" t="s">
        <v>276</v>
      </c>
      <c r="F123" s="14" t="s">
        <v>277</v>
      </c>
      <c r="G123" s="14" t="s">
        <v>278</v>
      </c>
    </row>
    <row r="124" spans="1:7" x14ac:dyDescent="0.25">
      <c r="A124" s="15">
        <v>1</v>
      </c>
      <c r="B124" s="254" t="s">
        <v>190</v>
      </c>
      <c r="C124" s="254"/>
      <c r="D124" s="254"/>
      <c r="E124" s="254"/>
      <c r="F124" s="254"/>
      <c r="G124" s="254"/>
    </row>
    <row r="125" spans="1:7" x14ac:dyDescent="0.25">
      <c r="A125" s="156" t="s">
        <v>48</v>
      </c>
      <c r="B125" s="158" t="s">
        <v>292</v>
      </c>
      <c r="C125" s="157" t="s">
        <v>286</v>
      </c>
      <c r="D125" s="156"/>
      <c r="E125" s="28">
        <v>295220</v>
      </c>
      <c r="F125" s="28">
        <v>0</v>
      </c>
      <c r="G125" s="30">
        <f t="shared" ref="G125" si="21">SUM(E125:F125)</f>
        <v>295220</v>
      </c>
    </row>
    <row r="126" spans="1:7" x14ac:dyDescent="0.25">
      <c r="A126" s="253" t="s">
        <v>22</v>
      </c>
      <c r="B126" s="253"/>
      <c r="C126" s="253"/>
      <c r="D126" s="16"/>
      <c r="E126" s="106">
        <f>SUM(E125:E125)</f>
        <v>295220</v>
      </c>
      <c r="F126" s="106">
        <f>SUM(F125:F125)</f>
        <v>0</v>
      </c>
      <c r="G126" s="106">
        <f>E126+F126</f>
        <v>295220</v>
      </c>
    </row>
    <row r="127" spans="1:7" x14ac:dyDescent="0.25">
      <c r="A127" s="15">
        <v>2</v>
      </c>
      <c r="B127" s="254" t="s">
        <v>191</v>
      </c>
      <c r="C127" s="254"/>
      <c r="D127" s="254"/>
      <c r="E127" s="254"/>
      <c r="F127" s="254"/>
      <c r="G127" s="254"/>
    </row>
    <row r="128" spans="1:7" x14ac:dyDescent="0.25">
      <c r="A128" s="156" t="s">
        <v>218</v>
      </c>
      <c r="B128" s="52" t="s">
        <v>264</v>
      </c>
      <c r="C128" s="157" t="s">
        <v>263</v>
      </c>
      <c r="D128" s="156"/>
      <c r="E128" s="28">
        <v>0</v>
      </c>
      <c r="F128" s="28">
        <v>279246.46000000002</v>
      </c>
      <c r="G128" s="30">
        <f t="shared" ref="G128:G129" si="22">SUM(E128:F128)</f>
        <v>279246.46000000002</v>
      </c>
    </row>
    <row r="129" spans="1:7" x14ac:dyDescent="0.25">
      <c r="A129" s="156" t="s">
        <v>221</v>
      </c>
      <c r="B129" s="52" t="s">
        <v>290</v>
      </c>
      <c r="C129" s="157" t="s">
        <v>289</v>
      </c>
      <c r="D129" s="156"/>
      <c r="E129" s="28">
        <v>0</v>
      </c>
      <c r="F129" s="28">
        <v>158701.20000000001</v>
      </c>
      <c r="G129" s="30">
        <f t="shared" si="22"/>
        <v>158701.20000000001</v>
      </c>
    </row>
    <row r="130" spans="1:7" x14ac:dyDescent="0.25">
      <c r="A130" s="253" t="s">
        <v>22</v>
      </c>
      <c r="B130" s="253"/>
      <c r="C130" s="253"/>
      <c r="D130" s="16"/>
      <c r="E130" s="106">
        <f>SUM(E128:E129)</f>
        <v>0</v>
      </c>
      <c r="F130" s="106">
        <f>SUM(F128:F129)</f>
        <v>437947.66000000003</v>
      </c>
      <c r="G130" s="106">
        <f>SUM(G128:G129)</f>
        <v>437947.66000000003</v>
      </c>
    </row>
    <row r="131" spans="1:7" x14ac:dyDescent="0.25">
      <c r="A131" s="15">
        <v>3</v>
      </c>
      <c r="B131" s="254" t="s">
        <v>187</v>
      </c>
      <c r="C131" s="254"/>
      <c r="D131" s="254"/>
      <c r="E131" s="254"/>
      <c r="F131" s="254"/>
      <c r="G131" s="254"/>
    </row>
    <row r="132" spans="1:7" x14ac:dyDescent="0.25">
      <c r="A132" s="156" t="s">
        <v>4</v>
      </c>
      <c r="B132" s="157" t="s">
        <v>74</v>
      </c>
      <c r="C132" s="157" t="s">
        <v>74</v>
      </c>
      <c r="D132" s="156"/>
      <c r="E132" s="28">
        <v>0</v>
      </c>
      <c r="F132" s="28">
        <f>28189.6+278.52+207.12+148.91+557.12+2367.76+112406.57+3551.02+7429.08+48543.91+8824.03</f>
        <v>212503.63999999998</v>
      </c>
      <c r="G132" s="30">
        <f t="shared" ref="G132" si="23">SUM(E132:F132)</f>
        <v>212503.63999999998</v>
      </c>
    </row>
    <row r="133" spans="1:7" x14ac:dyDescent="0.25">
      <c r="A133" s="156" t="s">
        <v>5</v>
      </c>
      <c r="B133" s="33" t="s">
        <v>13</v>
      </c>
      <c r="C133" s="157" t="s">
        <v>189</v>
      </c>
      <c r="D133" s="156"/>
      <c r="E133" s="28">
        <v>0</v>
      </c>
      <c r="F133" s="28">
        <f>3167.79+33.01</f>
        <v>3200.8</v>
      </c>
      <c r="G133" s="30">
        <f t="shared" ref="G133:G135" si="24">SUM(E133:F133)</f>
        <v>3200.8</v>
      </c>
    </row>
    <row r="134" spans="1:7" x14ac:dyDescent="0.25">
      <c r="A134" s="156" t="s">
        <v>6</v>
      </c>
      <c r="B134" s="33" t="s">
        <v>7</v>
      </c>
      <c r="C134" s="157" t="s">
        <v>164</v>
      </c>
      <c r="D134" s="156"/>
      <c r="E134" s="28">
        <v>0</v>
      </c>
      <c r="F134" s="28">
        <f>9200.96+233.28</f>
        <v>9434.24</v>
      </c>
      <c r="G134" s="30">
        <f t="shared" si="24"/>
        <v>9434.24</v>
      </c>
    </row>
    <row r="135" spans="1:7" x14ac:dyDescent="0.25">
      <c r="A135" s="156" t="s">
        <v>18</v>
      </c>
      <c r="B135" s="157" t="s">
        <v>256</v>
      </c>
      <c r="C135" s="157" t="s">
        <v>262</v>
      </c>
      <c r="D135" s="156"/>
      <c r="E135" s="28">
        <v>0</v>
      </c>
      <c r="F135" s="28">
        <f>71288.56+2062.77+71288.56+2062.77</f>
        <v>146702.66</v>
      </c>
      <c r="G135" s="30">
        <f t="shared" si="24"/>
        <v>146702.66</v>
      </c>
    </row>
    <row r="136" spans="1:7" x14ac:dyDescent="0.25">
      <c r="A136" s="156" t="s">
        <v>23</v>
      </c>
      <c r="B136" s="33" t="s">
        <v>275</v>
      </c>
      <c r="C136" s="157" t="s">
        <v>164</v>
      </c>
      <c r="D136" s="156"/>
      <c r="E136" s="28">
        <v>0</v>
      </c>
      <c r="F136" s="28">
        <v>66960</v>
      </c>
      <c r="G136" s="30">
        <f t="shared" ref="G136" si="25">SUM(E136:F136)</f>
        <v>66960</v>
      </c>
    </row>
    <row r="137" spans="1:7" x14ac:dyDescent="0.25">
      <c r="A137" s="253" t="s">
        <v>22</v>
      </c>
      <c r="B137" s="253"/>
      <c r="C137" s="253"/>
      <c r="D137" s="16"/>
      <c r="E137" s="106">
        <f>SUM(E132:E136)</f>
        <v>0</v>
      </c>
      <c r="F137" s="106">
        <f>SUM(F132:F136)</f>
        <v>438801.33999999997</v>
      </c>
      <c r="G137" s="18">
        <f>SUM(G132:G136)</f>
        <v>438801.33999999997</v>
      </c>
    </row>
    <row r="138" spans="1:7" x14ac:dyDescent="0.25">
      <c r="A138" s="15">
        <v>4</v>
      </c>
      <c r="B138" s="254" t="s">
        <v>192</v>
      </c>
      <c r="C138" s="254"/>
      <c r="D138" s="254"/>
      <c r="E138" s="254"/>
      <c r="F138" s="254"/>
      <c r="G138" s="254"/>
    </row>
    <row r="139" spans="1:7" x14ac:dyDescent="0.25">
      <c r="A139" s="253" t="s">
        <v>22</v>
      </c>
      <c r="B139" s="253"/>
      <c r="C139" s="253"/>
      <c r="D139" s="16"/>
      <c r="E139" s="106">
        <v>0</v>
      </c>
      <c r="F139" s="106">
        <v>0</v>
      </c>
      <c r="G139" s="18">
        <v>0</v>
      </c>
    </row>
    <row r="140" spans="1:7" x14ac:dyDescent="0.25">
      <c r="A140" s="15">
        <v>5</v>
      </c>
      <c r="B140" s="267" t="s">
        <v>193</v>
      </c>
      <c r="C140" s="268"/>
      <c r="D140" s="268"/>
      <c r="E140" s="268"/>
      <c r="F140" s="268"/>
      <c r="G140" s="269"/>
    </row>
    <row r="141" spans="1:7" x14ac:dyDescent="0.25">
      <c r="A141" s="156" t="s">
        <v>32</v>
      </c>
      <c r="B141" s="33" t="s">
        <v>3</v>
      </c>
      <c r="C141" s="157" t="s">
        <v>19</v>
      </c>
      <c r="D141" s="156"/>
      <c r="E141" s="28">
        <v>0</v>
      </c>
      <c r="F141" s="28">
        <v>50163.51</v>
      </c>
      <c r="G141" s="28">
        <f>SUM(E141:F141)</f>
        <v>50163.51</v>
      </c>
    </row>
    <row r="142" spans="1:7" x14ac:dyDescent="0.25">
      <c r="A142" s="253" t="s">
        <v>22</v>
      </c>
      <c r="B142" s="253"/>
      <c r="C142" s="253"/>
      <c r="D142" s="16"/>
      <c r="E142" s="106">
        <f>E141</f>
        <v>0</v>
      </c>
      <c r="F142" s="106">
        <f>F141</f>
        <v>50163.51</v>
      </c>
      <c r="G142" s="18">
        <f>SUM(E142:F142)</f>
        <v>50163.51</v>
      </c>
    </row>
    <row r="143" spans="1:7" x14ac:dyDescent="0.25">
      <c r="A143" s="255" t="s">
        <v>1</v>
      </c>
      <c r="B143" s="255"/>
      <c r="C143" s="255"/>
      <c r="D143" s="255"/>
      <c r="E143" s="39">
        <f>E126+E130+E137+E139+E142</f>
        <v>295220</v>
      </c>
      <c r="F143" s="39">
        <f>F126+F130++F139+F142+F137</f>
        <v>926912.51</v>
      </c>
      <c r="G143" s="39">
        <f>G126+G130+G137+G139+G142</f>
        <v>1222132.51</v>
      </c>
    </row>
    <row r="144" spans="1:7" x14ac:dyDescent="0.25">
      <c r="A144" s="10" t="s">
        <v>33</v>
      </c>
      <c r="B144" s="10"/>
      <c r="C144" s="11"/>
      <c r="D144" s="12"/>
      <c r="E144" s="108"/>
      <c r="F144" s="108"/>
      <c r="G144" s="108"/>
    </row>
    <row r="146" spans="1:7" x14ac:dyDescent="0.25">
      <c r="A146" s="258" t="s">
        <v>293</v>
      </c>
      <c r="B146" s="258"/>
      <c r="C146" s="258"/>
      <c r="D146" s="258"/>
      <c r="E146" s="258"/>
      <c r="F146" s="258"/>
      <c r="G146" s="258"/>
    </row>
    <row r="147" spans="1:7" ht="38.25" x14ac:dyDescent="0.25">
      <c r="A147" s="13" t="s">
        <v>27</v>
      </c>
      <c r="B147" s="13" t="s">
        <v>28</v>
      </c>
      <c r="C147" s="13" t="s">
        <v>29</v>
      </c>
      <c r="D147" s="13" t="s">
        <v>2</v>
      </c>
      <c r="E147" s="14" t="s">
        <v>276</v>
      </c>
      <c r="F147" s="14" t="s">
        <v>277</v>
      </c>
      <c r="G147" s="14" t="s">
        <v>278</v>
      </c>
    </row>
    <row r="148" spans="1:7" x14ac:dyDescent="0.25">
      <c r="A148" s="15">
        <v>1</v>
      </c>
      <c r="B148" s="254" t="s">
        <v>190</v>
      </c>
      <c r="C148" s="254"/>
      <c r="D148" s="254"/>
      <c r="E148" s="254"/>
      <c r="F148" s="254"/>
      <c r="G148" s="254"/>
    </row>
    <row r="149" spans="1:7" x14ac:dyDescent="0.25">
      <c r="A149" s="253" t="s">
        <v>22</v>
      </c>
      <c r="B149" s="253"/>
      <c r="C149" s="253"/>
      <c r="D149" s="16"/>
      <c r="E149" s="106">
        <v>0</v>
      </c>
      <c r="F149" s="106">
        <v>0</v>
      </c>
      <c r="G149" s="106">
        <v>0</v>
      </c>
    </row>
    <row r="150" spans="1:7" x14ac:dyDescent="0.25">
      <c r="A150" s="15">
        <v>2</v>
      </c>
      <c r="B150" s="254" t="s">
        <v>191</v>
      </c>
      <c r="C150" s="254"/>
      <c r="D150" s="254"/>
      <c r="E150" s="254"/>
      <c r="F150" s="254"/>
      <c r="G150" s="254"/>
    </row>
    <row r="151" spans="1:7" x14ac:dyDescent="0.25">
      <c r="A151" s="159" t="s">
        <v>218</v>
      </c>
      <c r="B151" s="52" t="s">
        <v>264</v>
      </c>
      <c r="C151" s="160" t="s">
        <v>263</v>
      </c>
      <c r="D151" s="159"/>
      <c r="E151" s="28">
        <v>0</v>
      </c>
      <c r="F151" s="28">
        <v>16761.07</v>
      </c>
      <c r="G151" s="30">
        <f t="shared" ref="G151" si="26">SUM(E151:F151)</f>
        <v>16761.07</v>
      </c>
    </row>
    <row r="152" spans="1:7" x14ac:dyDescent="0.25">
      <c r="A152" s="253" t="s">
        <v>22</v>
      </c>
      <c r="B152" s="253"/>
      <c r="C152" s="253"/>
      <c r="D152" s="16"/>
      <c r="E152" s="106">
        <f>SUM(E151:E151)</f>
        <v>0</v>
      </c>
      <c r="F152" s="106">
        <f>SUM(F151:F151)</f>
        <v>16761.07</v>
      </c>
      <c r="G152" s="106">
        <f>SUM(G151:G151)</f>
        <v>16761.07</v>
      </c>
    </row>
    <row r="153" spans="1:7" x14ac:dyDescent="0.25">
      <c r="A153" s="15">
        <v>3</v>
      </c>
      <c r="B153" s="254" t="s">
        <v>187</v>
      </c>
      <c r="C153" s="254"/>
      <c r="D153" s="254"/>
      <c r="E153" s="254"/>
      <c r="F153" s="254"/>
      <c r="G153" s="254"/>
    </row>
    <row r="154" spans="1:7" x14ac:dyDescent="0.25">
      <c r="A154" s="159" t="s">
        <v>4</v>
      </c>
      <c r="B154" s="160" t="s">
        <v>74</v>
      </c>
      <c r="C154" s="160" t="s">
        <v>74</v>
      </c>
      <c r="D154" s="159"/>
      <c r="E154" s="28">
        <v>0</v>
      </c>
      <c r="F154" s="28">
        <f>151.89+1944.09+7452.37+28189.6+2367.76+557.12+113137.32+4082.44+7429.08+48701.57+8918.98</f>
        <v>222932.22000000003</v>
      </c>
      <c r="G154" s="30">
        <f t="shared" ref="G154" si="27">SUM(E154:F154)</f>
        <v>222932.22000000003</v>
      </c>
    </row>
    <row r="155" spans="1:7" x14ac:dyDescent="0.25">
      <c r="A155" s="159" t="s">
        <v>5</v>
      </c>
      <c r="B155" s="33" t="s">
        <v>13</v>
      </c>
      <c r="C155" s="160" t="s">
        <v>189</v>
      </c>
      <c r="D155" s="159"/>
      <c r="E155" s="28">
        <v>0</v>
      </c>
      <c r="F155" s="28">
        <f>1551.92+16.17+2965.81</f>
        <v>4533.8999999999996</v>
      </c>
      <c r="G155" s="30">
        <f t="shared" ref="G155:G157" si="28">SUM(E155:F155)</f>
        <v>4533.8999999999996</v>
      </c>
    </row>
    <row r="156" spans="1:7" x14ac:dyDescent="0.25">
      <c r="A156" s="159" t="s">
        <v>6</v>
      </c>
      <c r="B156" s="33" t="s">
        <v>7</v>
      </c>
      <c r="C156" s="160" t="s">
        <v>164</v>
      </c>
      <c r="D156" s="159"/>
      <c r="E156" s="28">
        <v>0</v>
      </c>
      <c r="F156" s="28">
        <f>9200.96+233.28</f>
        <v>9434.24</v>
      </c>
      <c r="G156" s="30">
        <f t="shared" si="28"/>
        <v>9434.24</v>
      </c>
    </row>
    <row r="157" spans="1:7" x14ac:dyDescent="0.25">
      <c r="A157" s="159" t="s">
        <v>18</v>
      </c>
      <c r="B157" s="160" t="s">
        <v>256</v>
      </c>
      <c r="C157" s="160" t="s">
        <v>262</v>
      </c>
      <c r="D157" s="159"/>
      <c r="E157" s="28">
        <v>0</v>
      </c>
      <c r="F157" s="28">
        <f>73351.33+73351.33</f>
        <v>146702.66</v>
      </c>
      <c r="G157" s="30">
        <f t="shared" si="28"/>
        <v>146702.66</v>
      </c>
    </row>
    <row r="158" spans="1:7" x14ac:dyDescent="0.25">
      <c r="A158" s="159" t="s">
        <v>23</v>
      </c>
      <c r="B158" s="33" t="s">
        <v>275</v>
      </c>
      <c r="C158" s="160" t="s">
        <v>164</v>
      </c>
      <c r="D158" s="159"/>
      <c r="E158" s="28">
        <v>0</v>
      </c>
      <c r="F158" s="28">
        <v>49680</v>
      </c>
      <c r="G158" s="30">
        <f t="shared" ref="G158" si="29">SUM(E158:F158)</f>
        <v>49680</v>
      </c>
    </row>
    <row r="159" spans="1:7" x14ac:dyDescent="0.25">
      <c r="A159" s="253" t="s">
        <v>22</v>
      </c>
      <c r="B159" s="253"/>
      <c r="C159" s="253"/>
      <c r="D159" s="16"/>
      <c r="E159" s="106">
        <f>SUM(E154:E158)</f>
        <v>0</v>
      </c>
      <c r="F159" s="106">
        <f>SUM(F154:F158)</f>
        <v>433283.02</v>
      </c>
      <c r="G159" s="18">
        <f>SUM(G154:G158)</f>
        <v>433283.02</v>
      </c>
    </row>
    <row r="160" spans="1:7" x14ac:dyDescent="0.25">
      <c r="A160" s="15">
        <v>4</v>
      </c>
      <c r="B160" s="254" t="s">
        <v>192</v>
      </c>
      <c r="C160" s="254"/>
      <c r="D160" s="254"/>
      <c r="E160" s="254"/>
      <c r="F160" s="254"/>
      <c r="G160" s="254"/>
    </row>
    <row r="161" spans="1:7" x14ac:dyDescent="0.25">
      <c r="A161" s="253" t="s">
        <v>22</v>
      </c>
      <c r="B161" s="253"/>
      <c r="C161" s="253"/>
      <c r="D161" s="16"/>
      <c r="E161" s="106">
        <v>0</v>
      </c>
      <c r="F161" s="106">
        <v>0</v>
      </c>
      <c r="G161" s="18">
        <v>0</v>
      </c>
    </row>
    <row r="162" spans="1:7" x14ac:dyDescent="0.25">
      <c r="A162" s="15">
        <v>5</v>
      </c>
      <c r="B162" s="267" t="s">
        <v>193</v>
      </c>
      <c r="C162" s="268"/>
      <c r="D162" s="268"/>
      <c r="E162" s="268"/>
      <c r="F162" s="268"/>
      <c r="G162" s="269"/>
    </row>
    <row r="163" spans="1:7" x14ac:dyDescent="0.25">
      <c r="A163" s="159" t="s">
        <v>32</v>
      </c>
      <c r="B163" s="33" t="s">
        <v>3</v>
      </c>
      <c r="C163" s="160" t="s">
        <v>19</v>
      </c>
      <c r="D163" s="159"/>
      <c r="E163" s="28">
        <v>0</v>
      </c>
      <c r="F163" s="28">
        <v>75915.38</v>
      </c>
      <c r="G163" s="28">
        <f>SUM(E163:F163)</f>
        <v>75915.38</v>
      </c>
    </row>
    <row r="164" spans="1:7" x14ac:dyDescent="0.25">
      <c r="A164" s="253" t="s">
        <v>22</v>
      </c>
      <c r="B164" s="253"/>
      <c r="C164" s="253"/>
      <c r="D164" s="16"/>
      <c r="E164" s="106">
        <f>E163</f>
        <v>0</v>
      </c>
      <c r="F164" s="106">
        <f>F163</f>
        <v>75915.38</v>
      </c>
      <c r="G164" s="18">
        <f>SUM(E164:F164)</f>
        <v>75915.38</v>
      </c>
    </row>
    <row r="165" spans="1:7" x14ac:dyDescent="0.25">
      <c r="A165" s="255" t="s">
        <v>1</v>
      </c>
      <c r="B165" s="255"/>
      <c r="C165" s="255"/>
      <c r="D165" s="255"/>
      <c r="E165" s="39">
        <f>E149+E152+E159+E161+E164</f>
        <v>0</v>
      </c>
      <c r="F165" s="39">
        <f>F149+F152++F161+F164+F159</f>
        <v>525959.47</v>
      </c>
      <c r="G165" s="39">
        <f>G149+G152+G159+G161+G164</f>
        <v>525959.47</v>
      </c>
    </row>
    <row r="166" spans="1:7" x14ac:dyDescent="0.25">
      <c r="A166" s="10" t="s">
        <v>33</v>
      </c>
      <c r="B166" s="10"/>
      <c r="C166" s="11"/>
      <c r="D166" s="12"/>
      <c r="E166" s="108"/>
      <c r="F166" s="108"/>
      <c r="G166" s="108"/>
    </row>
    <row r="168" spans="1:7" x14ac:dyDescent="0.25">
      <c r="A168" s="258" t="s">
        <v>294</v>
      </c>
      <c r="B168" s="258"/>
      <c r="C168" s="258"/>
      <c r="D168" s="258"/>
      <c r="E168" s="258"/>
      <c r="F168" s="258"/>
      <c r="G168" s="258"/>
    </row>
    <row r="169" spans="1:7" ht="38.25" x14ac:dyDescent="0.25">
      <c r="A169" s="13" t="s">
        <v>27</v>
      </c>
      <c r="B169" s="13" t="s">
        <v>28</v>
      </c>
      <c r="C169" s="13" t="s">
        <v>29</v>
      </c>
      <c r="D169" s="13" t="s">
        <v>2</v>
      </c>
      <c r="E169" s="14" t="s">
        <v>276</v>
      </c>
      <c r="F169" s="14" t="s">
        <v>277</v>
      </c>
      <c r="G169" s="14" t="s">
        <v>278</v>
      </c>
    </row>
    <row r="170" spans="1:7" x14ac:dyDescent="0.25">
      <c r="A170" s="15">
        <v>1</v>
      </c>
      <c r="B170" s="254" t="s">
        <v>190</v>
      </c>
      <c r="C170" s="254"/>
      <c r="D170" s="254"/>
      <c r="E170" s="254"/>
      <c r="F170" s="254"/>
      <c r="G170" s="254"/>
    </row>
    <row r="171" spans="1:7" s="1" customFormat="1" x14ac:dyDescent="0.25">
      <c r="A171" s="161" t="s">
        <v>48</v>
      </c>
      <c r="B171" s="52" t="s">
        <v>216</v>
      </c>
      <c r="C171" s="162" t="s">
        <v>295</v>
      </c>
      <c r="D171" s="161"/>
      <c r="E171" s="28">
        <v>0</v>
      </c>
      <c r="F171" s="28">
        <v>22078</v>
      </c>
      <c r="G171" s="30">
        <f t="shared" ref="G171" si="30">SUM(E171:F171)</f>
        <v>22078</v>
      </c>
    </row>
    <row r="172" spans="1:7" s="1" customFormat="1" x14ac:dyDescent="0.25">
      <c r="A172" s="161" t="s">
        <v>70</v>
      </c>
      <c r="B172" s="52" t="s">
        <v>216</v>
      </c>
      <c r="C172" s="162" t="s">
        <v>296</v>
      </c>
      <c r="D172" s="161"/>
      <c r="E172" s="28">
        <v>0</v>
      </c>
      <c r="F172" s="28">
        <f>56670+53375+28900+42000</f>
        <v>180945</v>
      </c>
      <c r="G172" s="30">
        <f t="shared" ref="G172" si="31">SUM(E172:F172)</f>
        <v>180945</v>
      </c>
    </row>
    <row r="173" spans="1:7" x14ac:dyDescent="0.25">
      <c r="A173" s="253" t="s">
        <v>22</v>
      </c>
      <c r="B173" s="253"/>
      <c r="C173" s="253"/>
      <c r="D173" s="16"/>
      <c r="E173" s="106">
        <v>0</v>
      </c>
      <c r="F173" s="106">
        <f>F171+F172</f>
        <v>203023</v>
      </c>
      <c r="G173" s="106">
        <f>G171+G172</f>
        <v>203023</v>
      </c>
    </row>
    <row r="174" spans="1:7" x14ac:dyDescent="0.25">
      <c r="A174" s="15">
        <v>2</v>
      </c>
      <c r="B174" s="254" t="s">
        <v>191</v>
      </c>
      <c r="C174" s="254"/>
      <c r="D174" s="254"/>
      <c r="E174" s="254"/>
      <c r="F174" s="254"/>
      <c r="G174" s="254"/>
    </row>
    <row r="175" spans="1:7" s="1" customFormat="1" x14ac:dyDescent="0.25">
      <c r="A175" s="161" t="s">
        <v>218</v>
      </c>
      <c r="B175" s="52" t="s">
        <v>298</v>
      </c>
      <c r="C175" s="162" t="s">
        <v>297</v>
      </c>
      <c r="D175" s="161"/>
      <c r="E175" s="28">
        <v>0</v>
      </c>
      <c r="F175" s="28">
        <v>375235.84000000003</v>
      </c>
      <c r="G175" s="30">
        <f t="shared" ref="G175" si="32">SUM(E175:F175)</f>
        <v>375235.84000000003</v>
      </c>
    </row>
    <row r="176" spans="1:7" x14ac:dyDescent="0.25">
      <c r="A176" s="253" t="s">
        <v>22</v>
      </c>
      <c r="B176" s="253"/>
      <c r="C176" s="253"/>
      <c r="D176" s="16"/>
      <c r="E176" s="106">
        <v>0</v>
      </c>
      <c r="F176" s="106">
        <f>F175</f>
        <v>375235.84000000003</v>
      </c>
      <c r="G176" s="106">
        <f>G175</f>
        <v>375235.84000000003</v>
      </c>
    </row>
    <row r="177" spans="1:7" x14ac:dyDescent="0.25">
      <c r="A177" s="15">
        <v>3</v>
      </c>
      <c r="B177" s="254" t="s">
        <v>187</v>
      </c>
      <c r="C177" s="254"/>
      <c r="D177" s="254"/>
      <c r="E177" s="254"/>
      <c r="F177" s="254"/>
      <c r="G177" s="254"/>
    </row>
    <row r="178" spans="1:7" x14ac:dyDescent="0.25">
      <c r="A178" s="161" t="s">
        <v>4</v>
      </c>
      <c r="B178" s="162" t="s">
        <v>74</v>
      </c>
      <c r="C178" s="162" t="s">
        <v>74</v>
      </c>
      <c r="D178" s="161"/>
      <c r="E178" s="28">
        <v>0</v>
      </c>
      <c r="F178" s="28">
        <f>28189.6+2367.76+557.12+111050.68+4132.42+7429.08+47963.04+9007.6+12844.78+8346.08</f>
        <v>231888.16</v>
      </c>
      <c r="G178" s="30">
        <f t="shared" ref="G178" si="33">SUM(E178:F178)</f>
        <v>231888.16</v>
      </c>
    </row>
    <row r="179" spans="1:7" x14ac:dyDescent="0.25">
      <c r="A179" s="161" t="s">
        <v>5</v>
      </c>
      <c r="B179" s="33" t="s">
        <v>13</v>
      </c>
      <c r="C179" s="162" t="s">
        <v>189</v>
      </c>
      <c r="D179" s="161"/>
      <c r="E179" s="28">
        <v>0</v>
      </c>
      <c r="F179" s="28">
        <v>2653.8</v>
      </c>
      <c r="G179" s="30">
        <f t="shared" ref="G179:G181" si="34">SUM(E179:F179)</f>
        <v>2653.8</v>
      </c>
    </row>
    <row r="180" spans="1:7" x14ac:dyDescent="0.25">
      <c r="A180" s="161" t="s">
        <v>6</v>
      </c>
      <c r="B180" s="33" t="s">
        <v>7</v>
      </c>
      <c r="C180" s="162" t="s">
        <v>164</v>
      </c>
      <c r="D180" s="161"/>
      <c r="E180" s="28">
        <v>0</v>
      </c>
      <c r="F180" s="28">
        <f>9200.96+233.28</f>
        <v>9434.24</v>
      </c>
      <c r="G180" s="30">
        <f t="shared" si="34"/>
        <v>9434.24</v>
      </c>
    </row>
    <row r="181" spans="1:7" x14ac:dyDescent="0.25">
      <c r="A181" s="161" t="s">
        <v>18</v>
      </c>
      <c r="B181" s="162" t="s">
        <v>256</v>
      </c>
      <c r="C181" s="162" t="s">
        <v>262</v>
      </c>
      <c r="D181" s="161"/>
      <c r="E181" s="28">
        <v>0</v>
      </c>
      <c r="F181" s="28">
        <f>71288.56+2062.77+71288.56+2062.77</f>
        <v>146702.66</v>
      </c>
      <c r="G181" s="30">
        <f t="shared" si="34"/>
        <v>146702.66</v>
      </c>
    </row>
    <row r="182" spans="1:7" x14ac:dyDescent="0.25">
      <c r="A182" s="161" t="s">
        <v>23</v>
      </c>
      <c r="B182" s="33" t="s">
        <v>275</v>
      </c>
      <c r="C182" s="162" t="s">
        <v>164</v>
      </c>
      <c r="D182" s="161"/>
      <c r="E182" s="28">
        <v>0</v>
      </c>
      <c r="F182" s="28">
        <v>49680</v>
      </c>
      <c r="G182" s="30">
        <f t="shared" ref="G182" si="35">SUM(E182:F182)</f>
        <v>49680</v>
      </c>
    </row>
    <row r="183" spans="1:7" x14ac:dyDescent="0.25">
      <c r="A183" s="253" t="s">
        <v>22</v>
      </c>
      <c r="B183" s="253"/>
      <c r="C183" s="253"/>
      <c r="D183" s="16"/>
      <c r="E183" s="106">
        <f>SUM(E178:E182)</f>
        <v>0</v>
      </c>
      <c r="F183" s="106">
        <f>SUM(F178:F182)</f>
        <v>440358.86</v>
      </c>
      <c r="G183" s="18">
        <f>SUM(G178:G182)</f>
        <v>440358.86</v>
      </c>
    </row>
    <row r="184" spans="1:7" x14ac:dyDescent="0.25">
      <c r="A184" s="15">
        <v>4</v>
      </c>
      <c r="B184" s="254" t="s">
        <v>192</v>
      </c>
      <c r="C184" s="254"/>
      <c r="D184" s="254"/>
      <c r="E184" s="254"/>
      <c r="F184" s="254"/>
      <c r="G184" s="254"/>
    </row>
    <row r="185" spans="1:7" x14ac:dyDescent="0.25">
      <c r="A185" s="253" t="s">
        <v>22</v>
      </c>
      <c r="B185" s="253"/>
      <c r="C185" s="253"/>
      <c r="D185" s="16"/>
      <c r="E185" s="106">
        <v>0</v>
      </c>
      <c r="F185" s="106">
        <v>0</v>
      </c>
      <c r="G185" s="18">
        <v>0</v>
      </c>
    </row>
    <row r="186" spans="1:7" x14ac:dyDescent="0.25">
      <c r="A186" s="15">
        <v>5</v>
      </c>
      <c r="B186" s="267" t="s">
        <v>193</v>
      </c>
      <c r="C186" s="268"/>
      <c r="D186" s="268"/>
      <c r="E186" s="268"/>
      <c r="F186" s="268"/>
      <c r="G186" s="269"/>
    </row>
    <row r="187" spans="1:7" x14ac:dyDescent="0.25">
      <c r="A187" s="161" t="s">
        <v>32</v>
      </c>
      <c r="B187" s="33" t="s">
        <v>3</v>
      </c>
      <c r="C187" s="162" t="s">
        <v>19</v>
      </c>
      <c r="D187" s="161"/>
      <c r="E187" s="28">
        <v>0</v>
      </c>
      <c r="F187" s="28">
        <v>83286.759999999995</v>
      </c>
      <c r="G187" s="28">
        <f>SUM(E187:F187)</f>
        <v>83286.759999999995</v>
      </c>
    </row>
    <row r="188" spans="1:7" x14ac:dyDescent="0.25">
      <c r="A188" s="253" t="s">
        <v>22</v>
      </c>
      <c r="B188" s="253"/>
      <c r="C188" s="253"/>
      <c r="D188" s="16"/>
      <c r="E188" s="106">
        <f>E187</f>
        <v>0</v>
      </c>
      <c r="F188" s="106">
        <f>F187</f>
        <v>83286.759999999995</v>
      </c>
      <c r="G188" s="18">
        <f>SUM(E188:F188)</f>
        <v>83286.759999999995</v>
      </c>
    </row>
    <row r="189" spans="1:7" x14ac:dyDescent="0.25">
      <c r="A189" s="255" t="s">
        <v>1</v>
      </c>
      <c r="B189" s="255"/>
      <c r="C189" s="255"/>
      <c r="D189" s="255"/>
      <c r="E189" s="39">
        <f>E173+E176+E183+E185+E188</f>
        <v>0</v>
      </c>
      <c r="F189" s="39">
        <f>F173+F176++F185+F188+F183</f>
        <v>1101904.46</v>
      </c>
      <c r="G189" s="39">
        <f>G173+G176+G183+G185+G188</f>
        <v>1101904.46</v>
      </c>
    </row>
    <row r="190" spans="1:7" x14ac:dyDescent="0.25">
      <c r="A190" s="10" t="s">
        <v>33</v>
      </c>
      <c r="B190" s="10"/>
      <c r="C190" s="11"/>
      <c r="D190" s="12"/>
      <c r="E190" s="108"/>
      <c r="F190" s="108"/>
      <c r="G190" s="108"/>
    </row>
    <row r="192" spans="1:7" x14ac:dyDescent="0.25">
      <c r="A192" s="258" t="s">
        <v>299</v>
      </c>
      <c r="B192" s="258"/>
      <c r="C192" s="258"/>
      <c r="D192" s="258"/>
      <c r="E192" s="258"/>
      <c r="F192" s="258"/>
      <c r="G192" s="258"/>
    </row>
    <row r="193" spans="1:7" ht="38.25" x14ac:dyDescent="0.25">
      <c r="A193" s="13" t="s">
        <v>27</v>
      </c>
      <c r="B193" s="13" t="s">
        <v>28</v>
      </c>
      <c r="C193" s="13" t="s">
        <v>29</v>
      </c>
      <c r="D193" s="13" t="s">
        <v>2</v>
      </c>
      <c r="E193" s="14" t="s">
        <v>276</v>
      </c>
      <c r="F193" s="14" t="s">
        <v>277</v>
      </c>
      <c r="G193" s="14" t="s">
        <v>278</v>
      </c>
    </row>
    <row r="194" spans="1:7" x14ac:dyDescent="0.25">
      <c r="A194" s="15">
        <v>1</v>
      </c>
      <c r="B194" s="254" t="s">
        <v>190</v>
      </c>
      <c r="C194" s="254"/>
      <c r="D194" s="254"/>
      <c r="E194" s="254"/>
      <c r="F194" s="254"/>
      <c r="G194" s="254"/>
    </row>
    <row r="195" spans="1:7" x14ac:dyDescent="0.25">
      <c r="A195" s="163" t="s">
        <v>48</v>
      </c>
      <c r="B195" s="52" t="s">
        <v>216</v>
      </c>
      <c r="C195" s="164" t="s">
        <v>296</v>
      </c>
      <c r="D195" s="163"/>
      <c r="E195" s="28">
        <v>0</v>
      </c>
      <c r="F195" s="28">
        <f>172950</f>
        <v>172950</v>
      </c>
      <c r="G195" s="30">
        <f t="shared" ref="G195" si="36">SUM(E195:F195)</f>
        <v>172950</v>
      </c>
    </row>
    <row r="196" spans="1:7" x14ac:dyDescent="0.25">
      <c r="A196" s="253" t="s">
        <v>22</v>
      </c>
      <c r="B196" s="253"/>
      <c r="C196" s="253"/>
      <c r="D196" s="16"/>
      <c r="E196" s="106">
        <v>0</v>
      </c>
      <c r="F196" s="106">
        <f>F195</f>
        <v>172950</v>
      </c>
      <c r="G196" s="106">
        <f>G195</f>
        <v>172950</v>
      </c>
    </row>
    <row r="197" spans="1:7" x14ac:dyDescent="0.25">
      <c r="A197" s="15">
        <v>2</v>
      </c>
      <c r="B197" s="254" t="s">
        <v>191</v>
      </c>
      <c r="C197" s="254"/>
      <c r="D197" s="254"/>
      <c r="E197" s="254"/>
      <c r="F197" s="254"/>
      <c r="G197" s="254"/>
    </row>
    <row r="198" spans="1:7" x14ac:dyDescent="0.25">
      <c r="A198" s="253" t="s">
        <v>22</v>
      </c>
      <c r="B198" s="253"/>
      <c r="C198" s="253"/>
      <c r="D198" s="16"/>
      <c r="E198" s="106">
        <v>0</v>
      </c>
      <c r="F198" s="106">
        <v>0</v>
      </c>
      <c r="G198" s="106">
        <v>0</v>
      </c>
    </row>
    <row r="199" spans="1:7" x14ac:dyDescent="0.25">
      <c r="A199" s="15">
        <v>3</v>
      </c>
      <c r="B199" s="254" t="s">
        <v>187</v>
      </c>
      <c r="C199" s="254"/>
      <c r="D199" s="254"/>
      <c r="E199" s="254"/>
      <c r="F199" s="254"/>
      <c r="G199" s="254"/>
    </row>
    <row r="200" spans="1:7" x14ac:dyDescent="0.25">
      <c r="A200" s="163" t="s">
        <v>4</v>
      </c>
      <c r="B200" s="164" t="s">
        <v>74</v>
      </c>
      <c r="C200" s="164" t="s">
        <v>74</v>
      </c>
      <c r="D200" s="163"/>
      <c r="E200" s="28">
        <v>0</v>
      </c>
      <c r="F200" s="28">
        <f>5717.5+1456.7+27809.8+648.03+2367.76+557.12+113757.53+4082.06+7429.08+48062.97+9020.26+32891.55+3888.19</f>
        <v>257688.55</v>
      </c>
      <c r="G200" s="30">
        <f t="shared" ref="G200" si="37">SUM(E200:F200)</f>
        <v>257688.55</v>
      </c>
    </row>
    <row r="201" spans="1:7" x14ac:dyDescent="0.25">
      <c r="A201" s="163" t="s">
        <v>5</v>
      </c>
      <c r="B201" s="33" t="s">
        <v>13</v>
      </c>
      <c r="C201" s="164" t="s">
        <v>189</v>
      </c>
      <c r="D201" s="163"/>
      <c r="E201" s="28">
        <v>0</v>
      </c>
      <c r="F201" s="28">
        <v>2902</v>
      </c>
      <c r="G201" s="30">
        <f t="shared" ref="G201:G203" si="38">SUM(E201:F201)</f>
        <v>2902</v>
      </c>
    </row>
    <row r="202" spans="1:7" x14ac:dyDescent="0.25">
      <c r="A202" s="163" t="s">
        <v>6</v>
      </c>
      <c r="B202" s="33" t="s">
        <v>7</v>
      </c>
      <c r="C202" s="164" t="s">
        <v>164</v>
      </c>
      <c r="D202" s="163"/>
      <c r="E202" s="28">
        <v>0</v>
      </c>
      <c r="F202" s="28">
        <f>9200.96+233.28</f>
        <v>9434.24</v>
      </c>
      <c r="G202" s="30">
        <f t="shared" si="38"/>
        <v>9434.24</v>
      </c>
    </row>
    <row r="203" spans="1:7" x14ac:dyDescent="0.25">
      <c r="A203" s="163" t="s">
        <v>18</v>
      </c>
      <c r="B203" s="164" t="s">
        <v>256</v>
      </c>
      <c r="C203" s="164" t="s">
        <v>262</v>
      </c>
      <c r="D203" s="163"/>
      <c r="E203" s="28">
        <v>0</v>
      </c>
      <c r="F203" s="28">
        <f>71288.56+2062.77+71288.56+2062.77</f>
        <v>146702.66</v>
      </c>
      <c r="G203" s="30">
        <f t="shared" si="38"/>
        <v>146702.66</v>
      </c>
    </row>
    <row r="204" spans="1:7" x14ac:dyDescent="0.25">
      <c r="A204" s="163" t="s">
        <v>23</v>
      </c>
      <c r="B204" s="33" t="s">
        <v>275</v>
      </c>
      <c r="C204" s="164" t="s">
        <v>164</v>
      </c>
      <c r="D204" s="163"/>
      <c r="E204" s="28">
        <v>0</v>
      </c>
      <c r="F204" s="28">
        <f>36720+5222.4</f>
        <v>41942.400000000001</v>
      </c>
      <c r="G204" s="30">
        <f t="shared" ref="G204" si="39">SUM(E204:F204)</f>
        <v>41942.400000000001</v>
      </c>
    </row>
    <row r="205" spans="1:7" x14ac:dyDescent="0.25">
      <c r="A205" s="253" t="s">
        <v>22</v>
      </c>
      <c r="B205" s="253"/>
      <c r="C205" s="253"/>
      <c r="D205" s="16"/>
      <c r="E205" s="106">
        <f>SUM(E200:E204)</f>
        <v>0</v>
      </c>
      <c r="F205" s="106">
        <f>SUM(F200:F204)</f>
        <v>458669.85</v>
      </c>
      <c r="G205" s="18">
        <f>SUM(G200:G204)</f>
        <v>458669.85</v>
      </c>
    </row>
    <row r="206" spans="1:7" x14ac:dyDescent="0.25">
      <c r="A206" s="15">
        <v>4</v>
      </c>
      <c r="B206" s="254" t="s">
        <v>192</v>
      </c>
      <c r="C206" s="254"/>
      <c r="D206" s="254"/>
      <c r="E206" s="254"/>
      <c r="F206" s="254"/>
      <c r="G206" s="254"/>
    </row>
    <row r="207" spans="1:7" x14ac:dyDescent="0.25">
      <c r="A207" s="253" t="s">
        <v>22</v>
      </c>
      <c r="B207" s="253"/>
      <c r="C207" s="253"/>
      <c r="D207" s="16"/>
      <c r="E207" s="106">
        <v>0</v>
      </c>
      <c r="F207" s="106">
        <v>0</v>
      </c>
      <c r="G207" s="18">
        <v>0</v>
      </c>
    </row>
    <row r="208" spans="1:7" x14ac:dyDescent="0.25">
      <c r="A208" s="15">
        <v>5</v>
      </c>
      <c r="B208" s="267" t="s">
        <v>193</v>
      </c>
      <c r="C208" s="268"/>
      <c r="D208" s="268"/>
      <c r="E208" s="268"/>
      <c r="F208" s="268"/>
      <c r="G208" s="269"/>
    </row>
    <row r="209" spans="1:7" x14ac:dyDescent="0.25">
      <c r="A209" s="163" t="s">
        <v>32</v>
      </c>
      <c r="B209" s="33" t="s">
        <v>3</v>
      </c>
      <c r="C209" s="164" t="s">
        <v>19</v>
      </c>
      <c r="D209" s="163"/>
      <c r="E209" s="28">
        <v>0</v>
      </c>
      <c r="F209" s="28">
        <f>87820.67</f>
        <v>87820.67</v>
      </c>
      <c r="G209" s="28">
        <f>SUM(E209:F209)</f>
        <v>87820.67</v>
      </c>
    </row>
    <row r="210" spans="1:7" x14ac:dyDescent="0.25">
      <c r="A210" s="253" t="s">
        <v>22</v>
      </c>
      <c r="B210" s="253"/>
      <c r="C210" s="253"/>
      <c r="D210" s="16"/>
      <c r="E210" s="106">
        <f>E209</f>
        <v>0</v>
      </c>
      <c r="F210" s="106">
        <f>F209</f>
        <v>87820.67</v>
      </c>
      <c r="G210" s="18">
        <f>SUM(E210:F210)</f>
        <v>87820.67</v>
      </c>
    </row>
    <row r="211" spans="1:7" x14ac:dyDescent="0.25">
      <c r="A211" s="255" t="s">
        <v>1</v>
      </c>
      <c r="B211" s="255"/>
      <c r="C211" s="255"/>
      <c r="D211" s="255"/>
      <c r="E211" s="39">
        <f>E196+E198+E205+E207+E210</f>
        <v>0</v>
      </c>
      <c r="F211" s="39">
        <f>F196+F198++F207+F210+F205</f>
        <v>719440.52</v>
      </c>
      <c r="G211" s="39">
        <f>G196+G198+G205+G207+G210</f>
        <v>719440.52</v>
      </c>
    </row>
    <row r="212" spans="1:7" x14ac:dyDescent="0.25">
      <c r="A212" s="10" t="s">
        <v>33</v>
      </c>
      <c r="B212" s="10"/>
      <c r="C212" s="11"/>
      <c r="D212" s="12"/>
      <c r="E212" s="108"/>
      <c r="F212" s="108"/>
      <c r="G212" s="108"/>
    </row>
    <row r="214" spans="1:7" x14ac:dyDescent="0.25">
      <c r="A214" s="258" t="s">
        <v>300</v>
      </c>
      <c r="B214" s="258"/>
      <c r="C214" s="258"/>
      <c r="D214" s="258"/>
      <c r="E214" s="258"/>
      <c r="F214" s="258"/>
      <c r="G214" s="258"/>
    </row>
    <row r="215" spans="1:7" ht="38.25" x14ac:dyDescent="0.25">
      <c r="A215" s="13" t="s">
        <v>27</v>
      </c>
      <c r="B215" s="13" t="s">
        <v>28</v>
      </c>
      <c r="C215" s="13" t="s">
        <v>29</v>
      </c>
      <c r="D215" s="13" t="s">
        <v>2</v>
      </c>
      <c r="E215" s="14" t="s">
        <v>276</v>
      </c>
      <c r="F215" s="14" t="s">
        <v>277</v>
      </c>
      <c r="G215" s="14" t="s">
        <v>278</v>
      </c>
    </row>
    <row r="216" spans="1:7" x14ac:dyDescent="0.25">
      <c r="A216" s="15">
        <v>1</v>
      </c>
      <c r="B216" s="254" t="s">
        <v>190</v>
      </c>
      <c r="C216" s="254"/>
      <c r="D216" s="254"/>
      <c r="E216" s="254"/>
      <c r="F216" s="254"/>
      <c r="G216" s="254"/>
    </row>
    <row r="217" spans="1:7" x14ac:dyDescent="0.25">
      <c r="A217" s="165" t="s">
        <v>48</v>
      </c>
      <c r="B217" s="52" t="s">
        <v>243</v>
      </c>
      <c r="C217" s="166" t="s">
        <v>301</v>
      </c>
      <c r="D217" s="165"/>
      <c r="E217" s="28">
        <v>0</v>
      </c>
      <c r="F217" s="28">
        <v>19600</v>
      </c>
      <c r="G217" s="30">
        <f t="shared" ref="G217" si="40">SUM(E217:F217)</f>
        <v>19600</v>
      </c>
    </row>
    <row r="218" spans="1:7" x14ac:dyDescent="0.25">
      <c r="A218" s="253" t="s">
        <v>22</v>
      </c>
      <c r="B218" s="253"/>
      <c r="C218" s="253"/>
      <c r="D218" s="16"/>
      <c r="E218" s="106">
        <v>0</v>
      </c>
      <c r="F218" s="106">
        <f>F217</f>
        <v>19600</v>
      </c>
      <c r="G218" s="106">
        <f>G217</f>
        <v>19600</v>
      </c>
    </row>
    <row r="219" spans="1:7" x14ac:dyDescent="0.25">
      <c r="A219" s="15">
        <v>2</v>
      </c>
      <c r="B219" s="254" t="s">
        <v>191</v>
      </c>
      <c r="C219" s="254"/>
      <c r="D219" s="254"/>
      <c r="E219" s="254"/>
      <c r="F219" s="254"/>
      <c r="G219" s="254"/>
    </row>
    <row r="220" spans="1:7" x14ac:dyDescent="0.25">
      <c r="A220" s="253" t="s">
        <v>22</v>
      </c>
      <c r="B220" s="253"/>
      <c r="C220" s="253"/>
      <c r="D220" s="16"/>
      <c r="E220" s="106">
        <v>0</v>
      </c>
      <c r="F220" s="106">
        <v>0</v>
      </c>
      <c r="G220" s="106">
        <v>0</v>
      </c>
    </row>
    <row r="221" spans="1:7" x14ac:dyDescent="0.25">
      <c r="A221" s="15">
        <v>3</v>
      </c>
      <c r="B221" s="254" t="s">
        <v>187</v>
      </c>
      <c r="C221" s="254"/>
      <c r="D221" s="254"/>
      <c r="E221" s="254"/>
      <c r="F221" s="254"/>
      <c r="G221" s="254"/>
    </row>
    <row r="222" spans="1:7" x14ac:dyDescent="0.25">
      <c r="A222" s="165" t="s">
        <v>4</v>
      </c>
      <c r="B222" s="166" t="s">
        <v>74</v>
      </c>
      <c r="C222" s="166" t="s">
        <v>74</v>
      </c>
      <c r="D222" s="165"/>
      <c r="E222" s="28">
        <v>0</v>
      </c>
      <c r="F222" s="28">
        <f>27809.8+2367.76+557.12+111182.23+3531.85+7429.08+48083.18+9020.26+39708.39+274671.3</f>
        <v>524360.97</v>
      </c>
      <c r="G222" s="30">
        <f t="shared" ref="G222" si="41">SUM(E222:F222)</f>
        <v>524360.97</v>
      </c>
    </row>
    <row r="223" spans="1:7" x14ac:dyDescent="0.25">
      <c r="A223" s="165" t="s">
        <v>5</v>
      </c>
      <c r="B223" s="33" t="s">
        <v>7</v>
      </c>
      <c r="C223" s="166" t="s">
        <v>164</v>
      </c>
      <c r="D223" s="165"/>
      <c r="E223" s="28">
        <v>0</v>
      </c>
      <c r="F223" s="28">
        <v>9434.24</v>
      </c>
      <c r="G223" s="30">
        <f t="shared" ref="G223:G224" si="42">SUM(E223:F223)</f>
        <v>9434.24</v>
      </c>
    </row>
    <row r="224" spans="1:7" x14ac:dyDescent="0.25">
      <c r="A224" s="165" t="s">
        <v>6</v>
      </c>
      <c r="B224" s="166" t="s">
        <v>256</v>
      </c>
      <c r="C224" s="166" t="s">
        <v>262</v>
      </c>
      <c r="D224" s="165"/>
      <c r="E224" s="28">
        <v>0</v>
      </c>
      <c r="F224" s="28">
        <f>71288.56+2062.77+71288.56+2062.77</f>
        <v>146702.66</v>
      </c>
      <c r="G224" s="30">
        <f t="shared" si="42"/>
        <v>146702.66</v>
      </c>
    </row>
    <row r="225" spans="1:7" x14ac:dyDescent="0.25">
      <c r="A225" s="165" t="s">
        <v>18</v>
      </c>
      <c r="B225" s="33" t="s">
        <v>275</v>
      </c>
      <c r="C225" s="166" t="s">
        <v>164</v>
      </c>
      <c r="D225" s="165"/>
      <c r="E225" s="28">
        <v>0</v>
      </c>
      <c r="F225" s="28">
        <v>49248</v>
      </c>
      <c r="G225" s="30">
        <f t="shared" ref="G225" si="43">SUM(E225:F225)</f>
        <v>49248</v>
      </c>
    </row>
    <row r="226" spans="1:7" x14ac:dyDescent="0.25">
      <c r="A226" s="253" t="s">
        <v>22</v>
      </c>
      <c r="B226" s="253"/>
      <c r="C226" s="253"/>
      <c r="D226" s="16"/>
      <c r="E226" s="106">
        <f>SUM(E222:E225)</f>
        <v>0</v>
      </c>
      <c r="F226" s="106">
        <f>SUM(F222:F225)</f>
        <v>729745.87</v>
      </c>
      <c r="G226" s="18">
        <f>SUM(G222:G225)</f>
        <v>729745.87</v>
      </c>
    </row>
    <row r="227" spans="1:7" x14ac:dyDescent="0.25">
      <c r="A227" s="15">
        <v>4</v>
      </c>
      <c r="B227" s="254" t="s">
        <v>192</v>
      </c>
      <c r="C227" s="254"/>
      <c r="D227" s="254"/>
      <c r="E227" s="254"/>
      <c r="F227" s="254"/>
      <c r="G227" s="254"/>
    </row>
    <row r="228" spans="1:7" x14ac:dyDescent="0.25">
      <c r="A228" s="253" t="s">
        <v>22</v>
      </c>
      <c r="B228" s="253"/>
      <c r="C228" s="253"/>
      <c r="D228" s="16"/>
      <c r="E228" s="106">
        <v>0</v>
      </c>
      <c r="F228" s="106">
        <v>0</v>
      </c>
      <c r="G228" s="18">
        <v>0</v>
      </c>
    </row>
    <row r="229" spans="1:7" x14ac:dyDescent="0.25">
      <c r="A229" s="15">
        <v>5</v>
      </c>
      <c r="B229" s="267" t="s">
        <v>193</v>
      </c>
      <c r="C229" s="268"/>
      <c r="D229" s="268"/>
      <c r="E229" s="268"/>
      <c r="F229" s="268"/>
      <c r="G229" s="269"/>
    </row>
    <row r="230" spans="1:7" x14ac:dyDescent="0.25">
      <c r="A230" s="165" t="s">
        <v>32</v>
      </c>
      <c r="B230" s="33" t="s">
        <v>3</v>
      </c>
      <c r="C230" s="166" t="s">
        <v>19</v>
      </c>
      <c r="D230" s="165"/>
      <c r="E230" s="28">
        <v>0</v>
      </c>
      <c r="F230" s="28">
        <v>96514.8</v>
      </c>
      <c r="G230" s="28">
        <f>SUM(E230:F230)</f>
        <v>96514.8</v>
      </c>
    </row>
    <row r="231" spans="1:7" x14ac:dyDescent="0.25">
      <c r="A231" s="253" t="s">
        <v>22</v>
      </c>
      <c r="B231" s="253"/>
      <c r="C231" s="253"/>
      <c r="D231" s="16"/>
      <c r="E231" s="106">
        <f>E230</f>
        <v>0</v>
      </c>
      <c r="F231" s="106">
        <f>F230</f>
        <v>96514.8</v>
      </c>
      <c r="G231" s="18">
        <f>SUM(E231:F231)</f>
        <v>96514.8</v>
      </c>
    </row>
    <row r="232" spans="1:7" x14ac:dyDescent="0.25">
      <c r="A232" s="255" t="s">
        <v>1</v>
      </c>
      <c r="B232" s="255"/>
      <c r="C232" s="255"/>
      <c r="D232" s="255"/>
      <c r="E232" s="39">
        <f>E218+E220+E226+E228+E231</f>
        <v>0</v>
      </c>
      <c r="F232" s="39">
        <f>F218+F220++F228+F231+F226</f>
        <v>845860.67</v>
      </c>
      <c r="G232" s="39">
        <f>G218+G220+G226+G228+G231</f>
        <v>845860.67</v>
      </c>
    </row>
    <row r="233" spans="1:7" x14ac:dyDescent="0.25">
      <c r="A233" s="10" t="s">
        <v>33</v>
      </c>
      <c r="B233" s="10"/>
      <c r="C233" s="11"/>
      <c r="D233" s="12"/>
      <c r="E233" s="108"/>
      <c r="F233" s="108"/>
      <c r="G233" s="108"/>
    </row>
    <row r="236" spans="1:7" x14ac:dyDescent="0.25">
      <c r="A236" s="258" t="s">
        <v>302</v>
      </c>
      <c r="B236" s="258"/>
      <c r="C236" s="258"/>
      <c r="D236" s="258"/>
      <c r="E236" s="258"/>
      <c r="F236" s="258"/>
      <c r="G236" s="258"/>
    </row>
    <row r="237" spans="1:7" ht="38.25" x14ac:dyDescent="0.25">
      <c r="A237" s="13" t="s">
        <v>27</v>
      </c>
      <c r="B237" s="13" t="s">
        <v>28</v>
      </c>
      <c r="C237" s="13" t="s">
        <v>29</v>
      </c>
      <c r="D237" s="13" t="s">
        <v>2</v>
      </c>
      <c r="E237" s="14" t="s">
        <v>276</v>
      </c>
      <c r="F237" s="14" t="s">
        <v>277</v>
      </c>
      <c r="G237" s="14" t="s">
        <v>278</v>
      </c>
    </row>
    <row r="238" spans="1:7" x14ac:dyDescent="0.25">
      <c r="A238" s="15">
        <v>1</v>
      </c>
      <c r="B238" s="254" t="s">
        <v>190</v>
      </c>
      <c r="C238" s="254"/>
      <c r="D238" s="254"/>
      <c r="E238" s="254"/>
      <c r="F238" s="254"/>
      <c r="G238" s="254"/>
    </row>
    <row r="239" spans="1:7" x14ac:dyDescent="0.25">
      <c r="A239" s="167" t="s">
        <v>48</v>
      </c>
      <c r="B239" s="52" t="s">
        <v>243</v>
      </c>
      <c r="C239" s="168" t="s">
        <v>301</v>
      </c>
      <c r="D239" s="167"/>
      <c r="E239" s="28">
        <v>0</v>
      </c>
      <c r="F239" s="28">
        <v>0</v>
      </c>
      <c r="G239" s="30">
        <f t="shared" ref="G239" si="44">SUM(E239:F239)</f>
        <v>0</v>
      </c>
    </row>
    <row r="240" spans="1:7" x14ac:dyDescent="0.25">
      <c r="A240" s="253" t="s">
        <v>22</v>
      </c>
      <c r="B240" s="253"/>
      <c r="C240" s="253"/>
      <c r="D240" s="16"/>
      <c r="E240" s="106">
        <v>0</v>
      </c>
      <c r="F240" s="106">
        <f>F239</f>
        <v>0</v>
      </c>
      <c r="G240" s="106">
        <f>G239</f>
        <v>0</v>
      </c>
    </row>
    <row r="241" spans="1:7" x14ac:dyDescent="0.25">
      <c r="A241" s="15">
        <v>2</v>
      </c>
      <c r="B241" s="254" t="s">
        <v>191</v>
      </c>
      <c r="C241" s="254"/>
      <c r="D241" s="254"/>
      <c r="E241" s="254"/>
      <c r="F241" s="254"/>
      <c r="G241" s="254"/>
    </row>
    <row r="242" spans="1:7" x14ac:dyDescent="0.25">
      <c r="A242" s="167" t="s">
        <v>218</v>
      </c>
      <c r="B242" s="52" t="s">
        <v>298</v>
      </c>
      <c r="C242" s="168" t="s">
        <v>297</v>
      </c>
      <c r="D242" s="167"/>
      <c r="E242" s="28">
        <v>0</v>
      </c>
      <c r="F242" s="28">
        <v>366091.74</v>
      </c>
      <c r="G242" s="30">
        <f t="shared" ref="G242" si="45">SUM(E242:F242)</f>
        <v>366091.74</v>
      </c>
    </row>
    <row r="243" spans="1:7" x14ac:dyDescent="0.25">
      <c r="A243" s="253" t="s">
        <v>22</v>
      </c>
      <c r="B243" s="253"/>
      <c r="C243" s="253"/>
      <c r="D243" s="16"/>
      <c r="E243" s="106">
        <v>0</v>
      </c>
      <c r="F243" s="106">
        <f>F242</f>
        <v>366091.74</v>
      </c>
      <c r="G243" s="106">
        <f>G242</f>
        <v>366091.74</v>
      </c>
    </row>
    <row r="244" spans="1:7" x14ac:dyDescent="0.25">
      <c r="A244" s="15">
        <v>3</v>
      </c>
      <c r="B244" s="254" t="s">
        <v>187</v>
      </c>
      <c r="C244" s="254"/>
      <c r="D244" s="254"/>
      <c r="E244" s="254"/>
      <c r="F244" s="254"/>
      <c r="G244" s="254"/>
    </row>
    <row r="245" spans="1:7" x14ac:dyDescent="0.25">
      <c r="A245" s="167" t="s">
        <v>4</v>
      </c>
      <c r="B245" s="168" t="s">
        <v>74</v>
      </c>
      <c r="C245" s="168" t="s">
        <v>74</v>
      </c>
      <c r="D245" s="167"/>
      <c r="E245" s="28">
        <v>0</v>
      </c>
      <c r="F245" s="28">
        <f>27809.8+928.4+2715.96+626.76+11361.84+123737.49+3592.9+6401.96+12850.11+52549.4+3052.47+12375.47+42303.73</f>
        <v>300306.28999999998</v>
      </c>
      <c r="G245" s="30">
        <f t="shared" ref="G245" si="46">SUM(E245:F245)</f>
        <v>300306.28999999998</v>
      </c>
    </row>
    <row r="246" spans="1:7" x14ac:dyDescent="0.25">
      <c r="A246" s="167" t="s">
        <v>5</v>
      </c>
      <c r="B246" s="33" t="s">
        <v>7</v>
      </c>
      <c r="C246" s="168" t="s">
        <v>164</v>
      </c>
      <c r="D246" s="167"/>
      <c r="E246" s="28">
        <v>0</v>
      </c>
      <c r="F246" s="28">
        <f>9200.96+233.28</f>
        <v>9434.24</v>
      </c>
      <c r="G246" s="30">
        <f t="shared" ref="G246" si="47">SUM(E246:F246)</f>
        <v>9434.24</v>
      </c>
    </row>
    <row r="247" spans="1:7" x14ac:dyDescent="0.25">
      <c r="A247" s="167" t="s">
        <v>6</v>
      </c>
      <c r="B247" s="33" t="s">
        <v>275</v>
      </c>
      <c r="C247" s="168" t="s">
        <v>164</v>
      </c>
      <c r="D247" s="167"/>
      <c r="E247" s="28">
        <v>0</v>
      </c>
      <c r="F247" s="28">
        <f>62640+1344</f>
        <v>63984</v>
      </c>
      <c r="G247" s="30">
        <f t="shared" ref="G247" si="48">SUM(E247:F247)</f>
        <v>63984</v>
      </c>
    </row>
    <row r="248" spans="1:7" x14ac:dyDescent="0.25">
      <c r="A248" s="253" t="s">
        <v>22</v>
      </c>
      <c r="B248" s="253"/>
      <c r="C248" s="253"/>
      <c r="D248" s="16"/>
      <c r="E248" s="106">
        <f>SUM(E245:E247)</f>
        <v>0</v>
      </c>
      <c r="F248" s="106">
        <f>SUM(F245:F247)</f>
        <v>373724.52999999997</v>
      </c>
      <c r="G248" s="18">
        <f>SUM(G245:G247)</f>
        <v>373724.52999999997</v>
      </c>
    </row>
    <row r="249" spans="1:7" x14ac:dyDescent="0.25">
      <c r="A249" s="15">
        <v>4</v>
      </c>
      <c r="B249" s="254" t="s">
        <v>192</v>
      </c>
      <c r="C249" s="254"/>
      <c r="D249" s="254"/>
      <c r="E249" s="254"/>
      <c r="F249" s="254"/>
      <c r="G249" s="254"/>
    </row>
    <row r="250" spans="1:7" x14ac:dyDescent="0.25">
      <c r="A250" s="253" t="s">
        <v>22</v>
      </c>
      <c r="B250" s="253"/>
      <c r="C250" s="253"/>
      <c r="D250" s="16"/>
      <c r="E250" s="106">
        <v>0</v>
      </c>
      <c r="F250" s="106">
        <v>0</v>
      </c>
      <c r="G250" s="18">
        <v>0</v>
      </c>
    </row>
    <row r="251" spans="1:7" x14ac:dyDescent="0.25">
      <c r="A251" s="15">
        <v>5</v>
      </c>
      <c r="B251" s="267" t="s">
        <v>193</v>
      </c>
      <c r="C251" s="268"/>
      <c r="D251" s="268"/>
      <c r="E251" s="268"/>
      <c r="F251" s="268"/>
      <c r="G251" s="269"/>
    </row>
    <row r="252" spans="1:7" x14ac:dyDescent="0.25">
      <c r="A252" s="167" t="s">
        <v>32</v>
      </c>
      <c r="B252" s="33" t="s">
        <v>3</v>
      </c>
      <c r="C252" s="168" t="s">
        <v>19</v>
      </c>
      <c r="D252" s="167"/>
      <c r="E252" s="28">
        <v>0</v>
      </c>
      <c r="F252" s="28">
        <f>38679.39+63528.44</f>
        <v>102207.83</v>
      </c>
      <c r="G252" s="28">
        <f>SUM(E252:F252)</f>
        <v>102207.83</v>
      </c>
    </row>
    <row r="253" spans="1:7" x14ac:dyDescent="0.25">
      <c r="A253" s="253" t="s">
        <v>22</v>
      </c>
      <c r="B253" s="253"/>
      <c r="C253" s="253"/>
      <c r="D253" s="16"/>
      <c r="E253" s="106">
        <f>E252</f>
        <v>0</v>
      </c>
      <c r="F253" s="106">
        <f>F252</f>
        <v>102207.83</v>
      </c>
      <c r="G253" s="18">
        <f>SUM(E253:F253)</f>
        <v>102207.83</v>
      </c>
    </row>
    <row r="254" spans="1:7" x14ac:dyDescent="0.25">
      <c r="A254" s="255" t="s">
        <v>1</v>
      </c>
      <c r="B254" s="255"/>
      <c r="C254" s="255"/>
      <c r="D254" s="255"/>
      <c r="E254" s="39">
        <f>E240+E243+E248+E250+E253</f>
        <v>0</v>
      </c>
      <c r="F254" s="39">
        <f>F240+F243++F250+F253+F248</f>
        <v>842024.1</v>
      </c>
      <c r="G254" s="39">
        <f>G240+G243+G248+G250+G253</f>
        <v>842024.1</v>
      </c>
    </row>
    <row r="255" spans="1:7" x14ac:dyDescent="0.25">
      <c r="A255" s="10" t="s">
        <v>33</v>
      </c>
      <c r="B255" s="10"/>
      <c r="C255" s="11"/>
      <c r="D255" s="12"/>
      <c r="E255" s="108"/>
      <c r="F255" s="108"/>
      <c r="G255" s="108"/>
    </row>
    <row r="257" spans="1:7" x14ac:dyDescent="0.25">
      <c r="A257" s="258" t="s">
        <v>303</v>
      </c>
      <c r="B257" s="258"/>
      <c r="C257" s="258"/>
      <c r="D257" s="258"/>
      <c r="E257" s="258"/>
      <c r="F257" s="258"/>
      <c r="G257" s="258"/>
    </row>
    <row r="258" spans="1:7" ht="38.25" x14ac:dyDescent="0.25">
      <c r="A258" s="13" t="s">
        <v>27</v>
      </c>
      <c r="B258" s="13" t="s">
        <v>28</v>
      </c>
      <c r="C258" s="13" t="s">
        <v>29</v>
      </c>
      <c r="D258" s="13" t="s">
        <v>2</v>
      </c>
      <c r="E258" s="14" t="s">
        <v>276</v>
      </c>
      <c r="F258" s="14" t="s">
        <v>277</v>
      </c>
      <c r="G258" s="14" t="s">
        <v>278</v>
      </c>
    </row>
    <row r="259" spans="1:7" x14ac:dyDescent="0.25">
      <c r="A259" s="15">
        <v>1</v>
      </c>
      <c r="B259" s="254" t="s">
        <v>190</v>
      </c>
      <c r="C259" s="254"/>
      <c r="D259" s="254"/>
      <c r="E259" s="254"/>
      <c r="F259" s="254"/>
      <c r="G259" s="254"/>
    </row>
    <row r="260" spans="1:7" x14ac:dyDescent="0.25">
      <c r="A260" s="169" t="s">
        <v>48</v>
      </c>
      <c r="B260" s="52" t="s">
        <v>243</v>
      </c>
      <c r="C260" s="170" t="s">
        <v>301</v>
      </c>
      <c r="D260" s="169"/>
      <c r="E260" s="28">
        <v>0</v>
      </c>
      <c r="F260" s="28">
        <v>29400</v>
      </c>
      <c r="G260" s="30">
        <f t="shared" ref="G260:G262" si="49">SUM(E260:F260)</f>
        <v>29400</v>
      </c>
    </row>
    <row r="261" spans="1:7" s="1" customFormat="1" x14ac:dyDescent="0.25">
      <c r="A261" s="169" t="s">
        <v>70</v>
      </c>
      <c r="B261" s="52" t="s">
        <v>243</v>
      </c>
      <c r="C261" s="170" t="s">
        <v>304</v>
      </c>
      <c r="D261" s="169"/>
      <c r="E261" s="28">
        <v>0</v>
      </c>
      <c r="F261" s="28">
        <v>31537.5</v>
      </c>
      <c r="G261" s="30">
        <f t="shared" si="49"/>
        <v>31537.5</v>
      </c>
    </row>
    <row r="262" spans="1:7" s="1" customFormat="1" x14ac:dyDescent="0.25">
      <c r="A262" s="169" t="s">
        <v>71</v>
      </c>
      <c r="B262" s="52" t="s">
        <v>243</v>
      </c>
      <c r="C262" s="170" t="s">
        <v>305</v>
      </c>
      <c r="D262" s="169"/>
      <c r="E262" s="28">
        <v>0</v>
      </c>
      <c r="F262" s="28">
        <v>97565</v>
      </c>
      <c r="G262" s="30">
        <f t="shared" si="49"/>
        <v>97565</v>
      </c>
    </row>
    <row r="263" spans="1:7" x14ac:dyDescent="0.25">
      <c r="A263" s="253" t="s">
        <v>22</v>
      </c>
      <c r="B263" s="253"/>
      <c r="C263" s="253"/>
      <c r="D263" s="16"/>
      <c r="E263" s="106">
        <v>0</v>
      </c>
      <c r="F263" s="106">
        <f>SUM(F260:F262)</f>
        <v>158502.5</v>
      </c>
      <c r="G263" s="106">
        <f>SUM(G260:G262)</f>
        <v>158502.5</v>
      </c>
    </row>
    <row r="264" spans="1:7" x14ac:dyDescent="0.25">
      <c r="A264" s="15">
        <v>2</v>
      </c>
      <c r="B264" s="254" t="s">
        <v>191</v>
      </c>
      <c r="C264" s="254"/>
      <c r="D264" s="254"/>
      <c r="E264" s="254"/>
      <c r="F264" s="254"/>
      <c r="G264" s="254"/>
    </row>
    <row r="265" spans="1:7" s="1" customFormat="1" x14ac:dyDescent="0.25">
      <c r="A265" s="169" t="s">
        <v>218</v>
      </c>
      <c r="B265" s="52" t="s">
        <v>298</v>
      </c>
      <c r="C265" s="170" t="s">
        <v>297</v>
      </c>
      <c r="D265" s="169"/>
      <c r="E265" s="28">
        <v>0</v>
      </c>
      <c r="F265" s="28">
        <v>406856.15</v>
      </c>
      <c r="G265" s="30">
        <f t="shared" ref="G265" si="50">SUM(E265:F265)</f>
        <v>406856.15</v>
      </c>
    </row>
    <row r="266" spans="1:7" x14ac:dyDescent="0.25">
      <c r="A266" s="253" t="s">
        <v>22</v>
      </c>
      <c r="B266" s="253"/>
      <c r="C266" s="253"/>
      <c r="D266" s="16"/>
      <c r="E266" s="106">
        <v>0</v>
      </c>
      <c r="F266" s="106">
        <f>F265</f>
        <v>406856.15</v>
      </c>
      <c r="G266" s="106">
        <f>G265</f>
        <v>406856.15</v>
      </c>
    </row>
    <row r="267" spans="1:7" x14ac:dyDescent="0.25">
      <c r="A267" s="15">
        <v>3</v>
      </c>
      <c r="B267" s="254" t="s">
        <v>187</v>
      </c>
      <c r="C267" s="254"/>
      <c r="D267" s="254"/>
      <c r="E267" s="254"/>
      <c r="F267" s="254"/>
      <c r="G267" s="254"/>
    </row>
    <row r="268" spans="1:7" x14ac:dyDescent="0.25">
      <c r="A268" s="169" t="s">
        <v>4</v>
      </c>
      <c r="B268" s="170" t="s">
        <v>74</v>
      </c>
      <c r="C268" s="170" t="s">
        <v>74</v>
      </c>
      <c r="D268" s="169"/>
      <c r="E268" s="28">
        <v>0</v>
      </c>
      <c r="F268" s="28">
        <f>837882.68-F269-F270</f>
        <v>468877.36000000004</v>
      </c>
      <c r="G268" s="30">
        <f t="shared" ref="G268" si="51">SUM(E268:F268)</f>
        <v>468877.36000000004</v>
      </c>
    </row>
    <row r="269" spans="1:7" x14ac:dyDescent="0.25">
      <c r="A269" s="169" t="s">
        <v>6</v>
      </c>
      <c r="B269" s="33" t="s">
        <v>275</v>
      </c>
      <c r="C269" s="170" t="s">
        <v>164</v>
      </c>
      <c r="D269" s="169"/>
      <c r="E269" s="28">
        <v>0</v>
      </c>
      <c r="F269" s="28">
        <v>75600</v>
      </c>
      <c r="G269" s="30">
        <f t="shared" ref="G269:G270" si="52">SUM(E269:F269)</f>
        <v>75600</v>
      </c>
    </row>
    <row r="270" spans="1:7" s="1" customFormat="1" x14ac:dyDescent="0.25">
      <c r="A270" s="169" t="s">
        <v>18</v>
      </c>
      <c r="B270" s="170" t="s">
        <v>256</v>
      </c>
      <c r="C270" s="170" t="s">
        <v>262</v>
      </c>
      <c r="D270" s="169"/>
      <c r="E270" s="28">
        <v>0</v>
      </c>
      <c r="F270" s="28">
        <f>66535.99+1925.25+4890.09+66535.99+1925.25+4890.09+73351.33+73351.33</f>
        <v>293405.32</v>
      </c>
      <c r="G270" s="30">
        <f t="shared" si="52"/>
        <v>293405.32</v>
      </c>
    </row>
    <row r="271" spans="1:7" x14ac:dyDescent="0.25">
      <c r="A271" s="253" t="s">
        <v>22</v>
      </c>
      <c r="B271" s="253"/>
      <c r="C271" s="253"/>
      <c r="D271" s="16"/>
      <c r="E271" s="106">
        <f>SUM(E268:E269)</f>
        <v>0</v>
      </c>
      <c r="F271" s="106">
        <f>SUM(F268:F270)</f>
        <v>837882.68000000017</v>
      </c>
      <c r="G271" s="18">
        <f>SUM(G268:G270)</f>
        <v>837882.68000000017</v>
      </c>
    </row>
    <row r="272" spans="1:7" x14ac:dyDescent="0.25">
      <c r="A272" s="15">
        <v>4</v>
      </c>
      <c r="B272" s="254" t="s">
        <v>192</v>
      </c>
      <c r="C272" s="254"/>
      <c r="D272" s="254"/>
      <c r="E272" s="254"/>
      <c r="F272" s="254"/>
      <c r="G272" s="254"/>
    </row>
    <row r="273" spans="1:7" x14ac:dyDescent="0.25">
      <c r="A273" s="253" t="s">
        <v>22</v>
      </c>
      <c r="B273" s="253"/>
      <c r="C273" s="253"/>
      <c r="D273" s="16"/>
      <c r="E273" s="106">
        <v>0</v>
      </c>
      <c r="F273" s="106">
        <v>0</v>
      </c>
      <c r="G273" s="18">
        <v>0</v>
      </c>
    </row>
    <row r="274" spans="1:7" x14ac:dyDescent="0.25">
      <c r="A274" s="15">
        <v>5</v>
      </c>
      <c r="B274" s="267" t="s">
        <v>193</v>
      </c>
      <c r="C274" s="268"/>
      <c r="D274" s="268"/>
      <c r="E274" s="268"/>
      <c r="F274" s="268"/>
      <c r="G274" s="269"/>
    </row>
    <row r="275" spans="1:7" x14ac:dyDescent="0.25">
      <c r="A275" s="169" t="s">
        <v>32</v>
      </c>
      <c r="B275" s="33" t="s">
        <v>3</v>
      </c>
      <c r="C275" s="170" t="s">
        <v>19</v>
      </c>
      <c r="D275" s="169"/>
      <c r="E275" s="28">
        <v>0</v>
      </c>
      <c r="F275" s="28">
        <v>96079.74</v>
      </c>
      <c r="G275" s="28">
        <f>SUM(E275:F275)</f>
        <v>96079.74</v>
      </c>
    </row>
    <row r="276" spans="1:7" x14ac:dyDescent="0.25">
      <c r="A276" s="253" t="s">
        <v>22</v>
      </c>
      <c r="B276" s="253"/>
      <c r="C276" s="253"/>
      <c r="D276" s="16"/>
      <c r="E276" s="106">
        <f>E275</f>
        <v>0</v>
      </c>
      <c r="F276" s="106">
        <f>F275</f>
        <v>96079.74</v>
      </c>
      <c r="G276" s="18">
        <f>SUM(E276:F276)</f>
        <v>96079.74</v>
      </c>
    </row>
    <row r="277" spans="1:7" x14ac:dyDescent="0.25">
      <c r="A277" s="255" t="s">
        <v>1</v>
      </c>
      <c r="B277" s="255"/>
      <c r="C277" s="255"/>
      <c r="D277" s="255"/>
      <c r="E277" s="39">
        <f>E263+E266+E271+E273+E276</f>
        <v>0</v>
      </c>
      <c r="F277" s="39">
        <f>F263+F266++F273+F276+F271</f>
        <v>1499321.0700000003</v>
      </c>
      <c r="G277" s="39">
        <f>G263+G266+G271+G273+G276</f>
        <v>1499321.07</v>
      </c>
    </row>
    <row r="278" spans="1:7" x14ac:dyDescent="0.25">
      <c r="A278" s="10" t="s">
        <v>33</v>
      </c>
      <c r="B278" s="10"/>
      <c r="C278" s="11"/>
      <c r="D278" s="12"/>
      <c r="E278" s="108"/>
      <c r="F278" s="108"/>
      <c r="G278" s="108"/>
    </row>
  </sheetData>
  <mergeCells count="149">
    <mergeCell ref="B274:G274"/>
    <mergeCell ref="A276:C276"/>
    <mergeCell ref="A277:D277"/>
    <mergeCell ref="A257:G257"/>
    <mergeCell ref="B259:G259"/>
    <mergeCell ref="A263:C263"/>
    <mergeCell ref="B264:G264"/>
    <mergeCell ref="A266:C266"/>
    <mergeCell ref="B267:G267"/>
    <mergeCell ref="A271:C271"/>
    <mergeCell ref="B272:G272"/>
    <mergeCell ref="A273:C273"/>
    <mergeCell ref="B251:G251"/>
    <mergeCell ref="A253:C253"/>
    <mergeCell ref="A254:D254"/>
    <mergeCell ref="A236:G236"/>
    <mergeCell ref="B238:G238"/>
    <mergeCell ref="A240:C240"/>
    <mergeCell ref="B241:G241"/>
    <mergeCell ref="A243:C243"/>
    <mergeCell ref="B244:G244"/>
    <mergeCell ref="A248:C248"/>
    <mergeCell ref="B249:G249"/>
    <mergeCell ref="A250:C250"/>
    <mergeCell ref="B208:G208"/>
    <mergeCell ref="A210:C210"/>
    <mergeCell ref="A211:D211"/>
    <mergeCell ref="A192:G192"/>
    <mergeCell ref="B194:G194"/>
    <mergeCell ref="A196:C196"/>
    <mergeCell ref="B197:G197"/>
    <mergeCell ref="A198:C198"/>
    <mergeCell ref="B199:G199"/>
    <mergeCell ref="A205:C205"/>
    <mergeCell ref="B206:G206"/>
    <mergeCell ref="A207:C207"/>
    <mergeCell ref="A146:G146"/>
    <mergeCell ref="B148:G148"/>
    <mergeCell ref="A149:C149"/>
    <mergeCell ref="B150:G150"/>
    <mergeCell ref="A152:C152"/>
    <mergeCell ref="A164:C164"/>
    <mergeCell ref="A165:D165"/>
    <mergeCell ref="B153:G153"/>
    <mergeCell ref="A159:C159"/>
    <mergeCell ref="B160:G160"/>
    <mergeCell ref="A161:C161"/>
    <mergeCell ref="B162:G162"/>
    <mergeCell ref="A94:D94"/>
    <mergeCell ref="B116:G116"/>
    <mergeCell ref="A118:C118"/>
    <mergeCell ref="A119:D119"/>
    <mergeCell ref="A106:C106"/>
    <mergeCell ref="B107:G107"/>
    <mergeCell ref="A113:C113"/>
    <mergeCell ref="B114:G114"/>
    <mergeCell ref="A115:C115"/>
    <mergeCell ref="B46:G46"/>
    <mergeCell ref="A48:C48"/>
    <mergeCell ref="A49:D49"/>
    <mergeCell ref="A37:C37"/>
    <mergeCell ref="B38:G38"/>
    <mergeCell ref="A43:C43"/>
    <mergeCell ref="B44:G44"/>
    <mergeCell ref="A45:C45"/>
    <mergeCell ref="B91:G91"/>
    <mergeCell ref="A74:G74"/>
    <mergeCell ref="B76:G76"/>
    <mergeCell ref="A79:C79"/>
    <mergeCell ref="B80:G80"/>
    <mergeCell ref="A81:C81"/>
    <mergeCell ref="B77:B78"/>
    <mergeCell ref="B82:G82"/>
    <mergeCell ref="A88:C88"/>
    <mergeCell ref="B89:G89"/>
    <mergeCell ref="A90:C90"/>
    <mergeCell ref="A70:C70"/>
    <mergeCell ref="A71:D71"/>
    <mergeCell ref="B59:G59"/>
    <mergeCell ref="A65:C65"/>
    <mergeCell ref="B66:G66"/>
    <mergeCell ref="B35:G35"/>
    <mergeCell ref="A23:C23"/>
    <mergeCell ref="B24:G24"/>
    <mergeCell ref="A26:C26"/>
    <mergeCell ref="A27:D27"/>
    <mergeCell ref="A13:C13"/>
    <mergeCell ref="B14:G14"/>
    <mergeCell ref="A16:C16"/>
    <mergeCell ref="B17:G17"/>
    <mergeCell ref="A21:C21"/>
    <mergeCell ref="B22:G22"/>
    <mergeCell ref="A1:G1"/>
    <mergeCell ref="A2:G2"/>
    <mergeCell ref="B3:G3"/>
    <mergeCell ref="A4:G4"/>
    <mergeCell ref="A8:G8"/>
    <mergeCell ref="B10:G10"/>
    <mergeCell ref="A30:G30"/>
    <mergeCell ref="B32:G32"/>
    <mergeCell ref="A34:C34"/>
    <mergeCell ref="A67:C67"/>
    <mergeCell ref="B68:G68"/>
    <mergeCell ref="A52:G52"/>
    <mergeCell ref="B54:G54"/>
    <mergeCell ref="A56:C56"/>
    <mergeCell ref="B57:G57"/>
    <mergeCell ref="A58:C58"/>
    <mergeCell ref="A142:C142"/>
    <mergeCell ref="A143:D143"/>
    <mergeCell ref="B131:G131"/>
    <mergeCell ref="A137:C137"/>
    <mergeCell ref="B138:G138"/>
    <mergeCell ref="A139:C139"/>
    <mergeCell ref="B140:G140"/>
    <mergeCell ref="A122:G122"/>
    <mergeCell ref="B124:G124"/>
    <mergeCell ref="A126:C126"/>
    <mergeCell ref="B127:G127"/>
    <mergeCell ref="A130:C130"/>
    <mergeCell ref="A97:G97"/>
    <mergeCell ref="B99:G99"/>
    <mergeCell ref="A102:C102"/>
    <mergeCell ref="B103:G103"/>
    <mergeCell ref="A93:C93"/>
    <mergeCell ref="A188:C188"/>
    <mergeCell ref="A189:D189"/>
    <mergeCell ref="B177:G177"/>
    <mergeCell ref="A183:C183"/>
    <mergeCell ref="B184:G184"/>
    <mergeCell ref="A185:C185"/>
    <mergeCell ref="B186:G186"/>
    <mergeCell ref="A168:G168"/>
    <mergeCell ref="B170:G170"/>
    <mergeCell ref="A173:C173"/>
    <mergeCell ref="B174:G174"/>
    <mergeCell ref="A176:C176"/>
    <mergeCell ref="B229:G229"/>
    <mergeCell ref="A231:C231"/>
    <mergeCell ref="A232:D232"/>
    <mergeCell ref="A214:G214"/>
    <mergeCell ref="B216:G216"/>
    <mergeCell ref="A218:C218"/>
    <mergeCell ref="B219:G219"/>
    <mergeCell ref="A220:C220"/>
    <mergeCell ref="B221:G221"/>
    <mergeCell ref="A226:C226"/>
    <mergeCell ref="B227:G227"/>
    <mergeCell ref="A228:C228"/>
  </mergeCells>
  <pageMargins left="0.51181102362204722" right="0.51181102362204722" top="0.78740157480314965" bottom="0.78740157480314965" header="0.31496062992125984" footer="0.31496062992125984"/>
  <pageSetup paperSize="9" scale="5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2"/>
  <sheetViews>
    <sheetView workbookViewId="0">
      <selection activeCell="D15" sqref="D15"/>
    </sheetView>
  </sheetViews>
  <sheetFormatPr defaultRowHeight="15" x14ac:dyDescent="0.25"/>
  <cols>
    <col min="2" max="2" width="57.5703125" bestFit="1" customWidth="1"/>
    <col min="3" max="3" width="44" bestFit="1" customWidth="1"/>
    <col min="4" max="4" width="18.140625" customWidth="1"/>
    <col min="5" max="5" width="16" bestFit="1" customWidth="1"/>
    <col min="6" max="6" width="15" bestFit="1" customWidth="1"/>
    <col min="9" max="9" width="11.5703125" bestFit="1" customWidth="1"/>
  </cols>
  <sheetData>
    <row r="1" spans="1:6" ht="15.75" x14ac:dyDescent="0.25">
      <c r="A1" s="265" t="s">
        <v>35</v>
      </c>
      <c r="B1" s="265"/>
      <c r="C1" s="265"/>
      <c r="D1" s="265"/>
      <c r="E1" s="265"/>
      <c r="F1" s="265"/>
    </row>
    <row r="2" spans="1:6" ht="15.75" x14ac:dyDescent="0.25">
      <c r="A2" s="265" t="s">
        <v>34</v>
      </c>
      <c r="B2" s="265"/>
      <c r="C2" s="265"/>
      <c r="D2" s="265"/>
      <c r="E2" s="265"/>
      <c r="F2" s="265"/>
    </row>
    <row r="3" spans="1:6" ht="15.75" x14ac:dyDescent="0.25">
      <c r="A3" s="3"/>
      <c r="B3" s="265" t="s">
        <v>30</v>
      </c>
      <c r="C3" s="265"/>
      <c r="D3" s="265"/>
      <c r="E3" s="265"/>
      <c r="F3" s="265"/>
    </row>
    <row r="4" spans="1:6" ht="15.75" x14ac:dyDescent="0.25">
      <c r="A4" s="265" t="s">
        <v>307</v>
      </c>
      <c r="B4" s="265"/>
      <c r="C4" s="265"/>
      <c r="D4" s="265"/>
      <c r="E4" s="265"/>
      <c r="F4" s="265"/>
    </row>
    <row r="6" spans="1:6" x14ac:dyDescent="0.25">
      <c r="A6" s="258" t="s">
        <v>306</v>
      </c>
      <c r="B6" s="258"/>
      <c r="C6" s="258"/>
      <c r="D6" s="258"/>
      <c r="E6" s="258"/>
      <c r="F6" s="258"/>
    </row>
    <row r="7" spans="1:6" ht="38.25" x14ac:dyDescent="0.25">
      <c r="A7" s="13" t="s">
        <v>27</v>
      </c>
      <c r="B7" s="13" t="s">
        <v>28</v>
      </c>
      <c r="C7" s="13" t="s">
        <v>29</v>
      </c>
      <c r="D7" s="14" t="s">
        <v>309</v>
      </c>
      <c r="E7" s="14" t="s">
        <v>310</v>
      </c>
      <c r="F7" s="14" t="s">
        <v>311</v>
      </c>
    </row>
    <row r="8" spans="1:6" x14ac:dyDescent="0.25">
      <c r="A8" s="15">
        <v>1</v>
      </c>
      <c r="B8" s="254" t="s">
        <v>190</v>
      </c>
      <c r="C8" s="254"/>
      <c r="D8" s="254"/>
      <c r="E8" s="254"/>
      <c r="F8" s="254"/>
    </row>
    <row r="9" spans="1:6" x14ac:dyDescent="0.25">
      <c r="A9" s="171" t="s">
        <v>48</v>
      </c>
      <c r="B9" s="52" t="s">
        <v>243</v>
      </c>
      <c r="C9" s="172" t="s">
        <v>308</v>
      </c>
      <c r="D9" s="28">
        <v>7920</v>
      </c>
      <c r="E9" s="28">
        <v>0</v>
      </c>
      <c r="F9" s="30">
        <f t="shared" ref="F9" si="0">SUM(D9:E9)</f>
        <v>7920</v>
      </c>
    </row>
    <row r="10" spans="1:6" x14ac:dyDescent="0.25">
      <c r="A10" s="253" t="s">
        <v>22</v>
      </c>
      <c r="B10" s="253"/>
      <c r="C10" s="253"/>
      <c r="D10" s="106">
        <f>D9</f>
        <v>7920</v>
      </c>
      <c r="E10" s="106">
        <f>SUM(E9:E9)</f>
        <v>0</v>
      </c>
      <c r="F10" s="106">
        <f>SUM(F9:F9)</f>
        <v>7920</v>
      </c>
    </row>
    <row r="11" spans="1:6" x14ac:dyDescent="0.25">
      <c r="A11" s="15">
        <v>2</v>
      </c>
      <c r="B11" s="254" t="s">
        <v>191</v>
      </c>
      <c r="C11" s="254"/>
      <c r="D11" s="254"/>
      <c r="E11" s="254"/>
      <c r="F11" s="254"/>
    </row>
    <row r="12" spans="1:6" x14ac:dyDescent="0.25">
      <c r="A12" s="171" t="s">
        <v>218</v>
      </c>
      <c r="B12" s="52" t="s">
        <v>298</v>
      </c>
      <c r="C12" s="172" t="s">
        <v>297</v>
      </c>
      <c r="D12" s="28">
        <v>0</v>
      </c>
      <c r="E12" s="28">
        <v>0</v>
      </c>
      <c r="F12" s="30">
        <f t="shared" ref="F12" si="1">SUM(D12:E12)</f>
        <v>0</v>
      </c>
    </row>
    <row r="13" spans="1:6" x14ac:dyDescent="0.25">
      <c r="A13" s="253" t="s">
        <v>22</v>
      </c>
      <c r="B13" s="253"/>
      <c r="C13" s="253"/>
      <c r="D13" s="106">
        <v>0</v>
      </c>
      <c r="E13" s="106">
        <f>E12</f>
        <v>0</v>
      </c>
      <c r="F13" s="106">
        <f>F12</f>
        <v>0</v>
      </c>
    </row>
    <row r="14" spans="1:6" x14ac:dyDescent="0.25">
      <c r="A14" s="15">
        <v>3</v>
      </c>
      <c r="B14" s="254" t="s">
        <v>187</v>
      </c>
      <c r="C14" s="254"/>
      <c r="D14" s="254"/>
      <c r="E14" s="254"/>
      <c r="F14" s="254"/>
    </row>
    <row r="15" spans="1:6" x14ac:dyDescent="0.25">
      <c r="A15" s="171" t="s">
        <v>4</v>
      </c>
      <c r="B15" s="172" t="s">
        <v>74</v>
      </c>
      <c r="C15" s="172" t="s">
        <v>74</v>
      </c>
      <c r="D15" s="28">
        <v>24609.57</v>
      </c>
      <c r="E15" s="28">
        <f>256419.64-E16</f>
        <v>252403.44</v>
      </c>
      <c r="F15" s="30">
        <f t="shared" ref="F15" si="2">SUM(D15:E15)</f>
        <v>277013.01</v>
      </c>
    </row>
    <row r="16" spans="1:6" x14ac:dyDescent="0.25">
      <c r="A16" s="171" t="s">
        <v>5</v>
      </c>
      <c r="B16" s="33" t="s">
        <v>13</v>
      </c>
      <c r="C16" s="172" t="s">
        <v>189</v>
      </c>
      <c r="D16" s="28">
        <v>0</v>
      </c>
      <c r="E16" s="28">
        <v>4016.2</v>
      </c>
      <c r="F16" s="30">
        <f t="shared" ref="F16" si="3">SUM(D16:E16)</f>
        <v>4016.2</v>
      </c>
    </row>
    <row r="17" spans="1:6" x14ac:dyDescent="0.25">
      <c r="A17" s="253" t="s">
        <v>22</v>
      </c>
      <c r="B17" s="253"/>
      <c r="C17" s="253"/>
      <c r="D17" s="106">
        <f>SUM(D15:D16)</f>
        <v>24609.57</v>
      </c>
      <c r="E17" s="106">
        <f>SUM(E15:E16)</f>
        <v>256419.64</v>
      </c>
      <c r="F17" s="18">
        <f>SUM(F15:F16)</f>
        <v>281029.21000000002</v>
      </c>
    </row>
    <row r="18" spans="1:6" x14ac:dyDescent="0.25">
      <c r="A18" s="15">
        <v>4</v>
      </c>
      <c r="B18" s="254" t="s">
        <v>192</v>
      </c>
      <c r="C18" s="254"/>
      <c r="D18" s="254"/>
      <c r="E18" s="254"/>
      <c r="F18" s="254"/>
    </row>
    <row r="19" spans="1:6" x14ac:dyDescent="0.25">
      <c r="A19" s="253" t="s">
        <v>22</v>
      </c>
      <c r="B19" s="253"/>
      <c r="C19" s="253"/>
      <c r="D19" s="106">
        <v>0</v>
      </c>
      <c r="E19" s="106">
        <v>0</v>
      </c>
      <c r="F19" s="18">
        <v>0</v>
      </c>
    </row>
    <row r="20" spans="1:6" x14ac:dyDescent="0.25">
      <c r="A20" s="15">
        <v>5</v>
      </c>
      <c r="B20" s="267" t="s">
        <v>193</v>
      </c>
      <c r="C20" s="268"/>
      <c r="D20" s="268"/>
      <c r="E20" s="268"/>
      <c r="F20" s="269"/>
    </row>
    <row r="21" spans="1:6" x14ac:dyDescent="0.25">
      <c r="A21" s="171" t="s">
        <v>32</v>
      </c>
      <c r="B21" s="33" t="s">
        <v>3</v>
      </c>
      <c r="C21" s="172" t="s">
        <v>19</v>
      </c>
      <c r="D21" s="28">
        <v>14.86</v>
      </c>
      <c r="E21" s="28">
        <v>0</v>
      </c>
      <c r="F21" s="28">
        <f>SUM(D21:E21)</f>
        <v>14.86</v>
      </c>
    </row>
    <row r="22" spans="1:6" x14ac:dyDescent="0.25">
      <c r="A22" s="253" t="s">
        <v>22</v>
      </c>
      <c r="B22" s="253"/>
      <c r="C22" s="253"/>
      <c r="D22" s="106">
        <f>D21</f>
        <v>14.86</v>
      </c>
      <c r="E22" s="106">
        <f>E21</f>
        <v>0</v>
      </c>
      <c r="F22" s="18">
        <f>SUM(D22:E22)</f>
        <v>14.86</v>
      </c>
    </row>
    <row r="23" spans="1:6" x14ac:dyDescent="0.25">
      <c r="A23" s="255" t="s">
        <v>1</v>
      </c>
      <c r="B23" s="255"/>
      <c r="C23" s="255"/>
      <c r="D23" s="39">
        <f>D10+D13+D17+D19+D22</f>
        <v>32544.43</v>
      </c>
      <c r="E23" s="39">
        <f>E10+E13++E19+E22+E17</f>
        <v>256419.64</v>
      </c>
      <c r="F23" s="39">
        <f>F10+F13+F17+F19+F22</f>
        <v>288964.07</v>
      </c>
    </row>
    <row r="24" spans="1:6" x14ac:dyDescent="0.25">
      <c r="A24" s="10" t="s">
        <v>33</v>
      </c>
      <c r="B24" s="10"/>
      <c r="C24" s="11"/>
      <c r="D24" s="108"/>
      <c r="E24" s="108"/>
      <c r="F24" s="108"/>
    </row>
    <row r="26" spans="1:6" x14ac:dyDescent="0.25">
      <c r="A26" s="258" t="s">
        <v>312</v>
      </c>
      <c r="B26" s="258"/>
      <c r="C26" s="258"/>
      <c r="D26" s="258"/>
      <c r="E26" s="258"/>
      <c r="F26" s="258"/>
    </row>
    <row r="27" spans="1:6" ht="38.25" x14ac:dyDescent="0.25">
      <c r="A27" s="13" t="s">
        <v>27</v>
      </c>
      <c r="B27" s="13" t="s">
        <v>28</v>
      </c>
      <c r="C27" s="13" t="s">
        <v>29</v>
      </c>
      <c r="D27" s="14" t="s">
        <v>309</v>
      </c>
      <c r="E27" s="14" t="s">
        <v>310</v>
      </c>
      <c r="F27" s="14" t="s">
        <v>311</v>
      </c>
    </row>
    <row r="28" spans="1:6" x14ac:dyDescent="0.25">
      <c r="A28" s="15">
        <v>1</v>
      </c>
      <c r="B28" s="254" t="s">
        <v>190</v>
      </c>
      <c r="C28" s="254"/>
      <c r="D28" s="254"/>
      <c r="E28" s="254"/>
      <c r="F28" s="254"/>
    </row>
    <row r="29" spans="1:6" x14ac:dyDescent="0.25">
      <c r="A29" s="173" t="s">
        <v>48</v>
      </c>
      <c r="B29" s="52" t="s">
        <v>313</v>
      </c>
      <c r="C29" s="174" t="s">
        <v>314</v>
      </c>
      <c r="D29" s="28">
        <f>169459.5+168168+163908.5</f>
        <v>501536</v>
      </c>
      <c r="E29" s="28">
        <v>0</v>
      </c>
      <c r="F29" s="30">
        <f t="shared" ref="F29" si="4">SUM(D29:E29)</f>
        <v>501536</v>
      </c>
    </row>
    <row r="30" spans="1:6" x14ac:dyDescent="0.25">
      <c r="A30" s="253" t="s">
        <v>22</v>
      </c>
      <c r="B30" s="253"/>
      <c r="C30" s="253"/>
      <c r="D30" s="106">
        <f>D29</f>
        <v>501536</v>
      </c>
      <c r="E30" s="106">
        <f>SUM(E29:E29)</f>
        <v>0</v>
      </c>
      <c r="F30" s="106">
        <f>SUM(F29:F29)</f>
        <v>501536</v>
      </c>
    </row>
    <row r="31" spans="1:6" x14ac:dyDescent="0.25">
      <c r="A31" s="15">
        <v>2</v>
      </c>
      <c r="B31" s="254" t="s">
        <v>191</v>
      </c>
      <c r="C31" s="254"/>
      <c r="D31" s="254"/>
      <c r="E31" s="254"/>
      <c r="F31" s="254"/>
    </row>
    <row r="32" spans="1:6" x14ac:dyDescent="0.25">
      <c r="A32" s="173" t="s">
        <v>218</v>
      </c>
      <c r="B32" s="52" t="s">
        <v>298</v>
      </c>
      <c r="C32" s="174" t="s">
        <v>297</v>
      </c>
      <c r="D32" s="28">
        <v>405579.58</v>
      </c>
      <c r="E32" s="28">
        <v>0</v>
      </c>
      <c r="F32" s="30">
        <f t="shared" ref="F32" si="5">SUM(D32:E32)</f>
        <v>405579.58</v>
      </c>
    </row>
    <row r="33" spans="1:6" x14ac:dyDescent="0.25">
      <c r="A33" s="253" t="s">
        <v>22</v>
      </c>
      <c r="B33" s="253"/>
      <c r="C33" s="253"/>
      <c r="D33" s="106">
        <f>D32</f>
        <v>405579.58</v>
      </c>
      <c r="E33" s="106">
        <f>E32</f>
        <v>0</v>
      </c>
      <c r="F33" s="106">
        <f>F32</f>
        <v>405579.58</v>
      </c>
    </row>
    <row r="34" spans="1:6" x14ac:dyDescent="0.25">
      <c r="A34" s="15">
        <v>3</v>
      </c>
      <c r="B34" s="254" t="s">
        <v>187</v>
      </c>
      <c r="C34" s="254"/>
      <c r="D34" s="254"/>
      <c r="E34" s="254"/>
      <c r="F34" s="254"/>
    </row>
    <row r="35" spans="1:6" x14ac:dyDescent="0.25">
      <c r="A35" s="173" t="s">
        <v>4</v>
      </c>
      <c r="B35" s="174" t="s">
        <v>74</v>
      </c>
      <c r="C35" s="174" t="s">
        <v>74</v>
      </c>
      <c r="D35" s="28">
        <v>0</v>
      </c>
      <c r="E35" s="28">
        <f>24592.45+1308.2+30223.05+3519.9+26071.37+2715.96+5232.8+124227.99+4580.64+6401.96+12850.11+912.93+52041.36+3052.47+12280.52</f>
        <v>310011.71000000002</v>
      </c>
      <c r="F35" s="30">
        <f t="shared" ref="F35" si="6">SUM(D35:E35)</f>
        <v>310011.71000000002</v>
      </c>
    </row>
    <row r="36" spans="1:6" x14ac:dyDescent="0.25">
      <c r="A36" s="173" t="s">
        <v>5</v>
      </c>
      <c r="B36" s="174" t="s">
        <v>10</v>
      </c>
      <c r="C36" s="174" t="s">
        <v>11</v>
      </c>
      <c r="D36" s="28">
        <v>0</v>
      </c>
      <c r="E36" s="28">
        <f>82882.18</f>
        <v>82882.179999999993</v>
      </c>
      <c r="F36" s="30">
        <f t="shared" ref="F36:F38" si="7">SUM(D36:E36)</f>
        <v>82882.179999999993</v>
      </c>
    </row>
    <row r="37" spans="1:6" s="1" customFormat="1" x14ac:dyDescent="0.25">
      <c r="A37" s="173" t="s">
        <v>6</v>
      </c>
      <c r="B37" s="33" t="s">
        <v>275</v>
      </c>
      <c r="C37" s="174" t="s">
        <v>164</v>
      </c>
      <c r="D37" s="28">
        <f>1344+50112</f>
        <v>51456</v>
      </c>
      <c r="E37" s="28">
        <f>67392</f>
        <v>67392</v>
      </c>
      <c r="F37" s="30">
        <f t="shared" si="7"/>
        <v>118848</v>
      </c>
    </row>
    <row r="38" spans="1:6" s="1" customFormat="1" x14ac:dyDescent="0.25">
      <c r="A38" s="173" t="s">
        <v>18</v>
      </c>
      <c r="B38" s="174" t="s">
        <v>256</v>
      </c>
      <c r="C38" s="174" t="s">
        <v>262</v>
      </c>
      <c r="D38" s="28">
        <f>73351.33+73351.33+4752.68+4752.68</f>
        <v>156208.01999999999</v>
      </c>
      <c r="E38" s="28">
        <f>73351.33+2299.69+73351.33+2299.69</f>
        <v>151302.04</v>
      </c>
      <c r="F38" s="30">
        <f t="shared" si="7"/>
        <v>307510.06</v>
      </c>
    </row>
    <row r="39" spans="1:6" x14ac:dyDescent="0.25">
      <c r="A39" s="253" t="s">
        <v>22</v>
      </c>
      <c r="B39" s="253"/>
      <c r="C39" s="253"/>
      <c r="D39" s="106">
        <f>SUM(D35:D38)</f>
        <v>207664.02</v>
      </c>
      <c r="E39" s="106">
        <f>SUM(E35:E38)</f>
        <v>611587.93000000005</v>
      </c>
      <c r="F39" s="106">
        <f>SUM(F35:F38)</f>
        <v>819251.95</v>
      </c>
    </row>
    <row r="40" spans="1:6" x14ac:dyDescent="0.25">
      <c r="A40" s="15">
        <v>4</v>
      </c>
      <c r="B40" s="254" t="s">
        <v>192</v>
      </c>
      <c r="C40" s="254"/>
      <c r="D40" s="254"/>
      <c r="E40" s="254"/>
      <c r="F40" s="254"/>
    </row>
    <row r="41" spans="1:6" x14ac:dyDescent="0.25">
      <c r="A41" s="253" t="s">
        <v>22</v>
      </c>
      <c r="B41" s="253"/>
      <c r="C41" s="253"/>
      <c r="D41" s="106">
        <v>0</v>
      </c>
      <c r="E41" s="106">
        <v>0</v>
      </c>
      <c r="F41" s="18">
        <v>0</v>
      </c>
    </row>
    <row r="42" spans="1:6" x14ac:dyDescent="0.25">
      <c r="A42" s="15">
        <v>5</v>
      </c>
      <c r="B42" s="267" t="s">
        <v>193</v>
      </c>
      <c r="C42" s="268"/>
      <c r="D42" s="268"/>
      <c r="E42" s="268"/>
      <c r="F42" s="269"/>
    </row>
    <row r="43" spans="1:6" x14ac:dyDescent="0.25">
      <c r="A43" s="173" t="s">
        <v>32</v>
      </c>
      <c r="B43" s="33" t="s">
        <v>3</v>
      </c>
      <c r="C43" s="174" t="s">
        <v>19</v>
      </c>
      <c r="D43" s="28">
        <v>83736.960000000006</v>
      </c>
      <c r="E43" s="28">
        <v>0</v>
      </c>
      <c r="F43" s="28">
        <f>SUM(D43:E43)</f>
        <v>83736.960000000006</v>
      </c>
    </row>
    <row r="44" spans="1:6" x14ac:dyDescent="0.25">
      <c r="A44" s="253" t="s">
        <v>22</v>
      </c>
      <c r="B44" s="253"/>
      <c r="C44" s="253"/>
      <c r="D44" s="106">
        <f>D43</f>
        <v>83736.960000000006</v>
      </c>
      <c r="E44" s="106">
        <f>E43</f>
        <v>0</v>
      </c>
      <c r="F44" s="18">
        <f>SUM(D44:E44)</f>
        <v>83736.960000000006</v>
      </c>
    </row>
    <row r="45" spans="1:6" x14ac:dyDescent="0.25">
      <c r="A45" s="255" t="s">
        <v>1</v>
      </c>
      <c r="B45" s="255"/>
      <c r="C45" s="255"/>
      <c r="D45" s="39">
        <f>D30+D33+D39+D41+D44</f>
        <v>1198516.56</v>
      </c>
      <c r="E45" s="39">
        <f>E30+E33++E41+E44+E39</f>
        <v>611587.93000000005</v>
      </c>
      <c r="F45" s="39">
        <f>F30+F33+F39+F41+F44</f>
        <v>1810104.49</v>
      </c>
    </row>
    <row r="46" spans="1:6" x14ac:dyDescent="0.25">
      <c r="A46" s="10" t="s">
        <v>33</v>
      </c>
      <c r="B46" s="10"/>
      <c r="C46" s="11"/>
      <c r="D46" s="108"/>
      <c r="E46" s="108"/>
      <c r="F46" s="108"/>
    </row>
    <row r="48" spans="1:6" x14ac:dyDescent="0.25">
      <c r="A48" s="258" t="s">
        <v>315</v>
      </c>
      <c r="B48" s="258"/>
      <c r="C48" s="258"/>
      <c r="D48" s="258"/>
      <c r="E48" s="258"/>
      <c r="F48" s="258"/>
    </row>
    <row r="49" spans="1:6" ht="38.25" x14ac:dyDescent="0.25">
      <c r="A49" s="13" t="s">
        <v>27</v>
      </c>
      <c r="B49" s="13" t="s">
        <v>28</v>
      </c>
      <c r="C49" s="13" t="s">
        <v>29</v>
      </c>
      <c r="D49" s="14" t="s">
        <v>309</v>
      </c>
      <c r="E49" s="14" t="s">
        <v>310</v>
      </c>
      <c r="F49" s="14" t="s">
        <v>311</v>
      </c>
    </row>
    <row r="50" spans="1:6" x14ac:dyDescent="0.25">
      <c r="A50" s="15">
        <v>1</v>
      </c>
      <c r="B50" s="254" t="s">
        <v>190</v>
      </c>
      <c r="C50" s="254"/>
      <c r="D50" s="254"/>
      <c r="E50" s="254"/>
      <c r="F50" s="254"/>
    </row>
    <row r="51" spans="1:6" x14ac:dyDescent="0.25">
      <c r="A51" s="175" t="s">
        <v>48</v>
      </c>
      <c r="B51" s="52" t="s">
        <v>313</v>
      </c>
      <c r="C51" s="176" t="s">
        <v>296</v>
      </c>
      <c r="D51" s="28">
        <v>350866</v>
      </c>
      <c r="E51" s="28">
        <v>0</v>
      </c>
      <c r="F51" s="30">
        <f t="shared" ref="F51" si="8">SUM(D51:E51)</f>
        <v>350866</v>
      </c>
    </row>
    <row r="52" spans="1:6" x14ac:dyDescent="0.25">
      <c r="A52" s="253" t="s">
        <v>22</v>
      </c>
      <c r="B52" s="253"/>
      <c r="C52" s="253"/>
      <c r="D52" s="106">
        <f>D51</f>
        <v>350866</v>
      </c>
      <c r="E52" s="106">
        <f>SUM(E51:E51)</f>
        <v>0</v>
      </c>
      <c r="F52" s="106">
        <f>SUM(F51:F51)</f>
        <v>350866</v>
      </c>
    </row>
    <row r="53" spans="1:6" x14ac:dyDescent="0.25">
      <c r="A53" s="15">
        <v>2</v>
      </c>
      <c r="B53" s="254" t="s">
        <v>191</v>
      </c>
      <c r="C53" s="254"/>
      <c r="D53" s="254"/>
      <c r="E53" s="254"/>
      <c r="F53" s="254"/>
    </row>
    <row r="54" spans="1:6" x14ac:dyDescent="0.25">
      <c r="A54" s="175" t="s">
        <v>218</v>
      </c>
      <c r="B54" s="52" t="s">
        <v>298</v>
      </c>
      <c r="C54" s="176" t="s">
        <v>297</v>
      </c>
      <c r="D54" s="28">
        <v>0</v>
      </c>
      <c r="E54" s="28">
        <v>336460.46</v>
      </c>
      <c r="F54" s="30">
        <f t="shared" ref="F54" si="9">SUM(D54:E54)</f>
        <v>336460.46</v>
      </c>
    </row>
    <row r="55" spans="1:6" x14ac:dyDescent="0.25">
      <c r="A55" s="253" t="s">
        <v>22</v>
      </c>
      <c r="B55" s="253"/>
      <c r="C55" s="253"/>
      <c r="D55" s="106">
        <f>D54</f>
        <v>0</v>
      </c>
      <c r="E55" s="106">
        <f>E54</f>
        <v>336460.46</v>
      </c>
      <c r="F55" s="106">
        <f>F54</f>
        <v>336460.46</v>
      </c>
    </row>
    <row r="56" spans="1:6" x14ac:dyDescent="0.25">
      <c r="A56" s="15">
        <v>3</v>
      </c>
      <c r="B56" s="254" t="s">
        <v>187</v>
      </c>
      <c r="C56" s="254"/>
      <c r="D56" s="254"/>
      <c r="E56" s="254"/>
      <c r="F56" s="254"/>
    </row>
    <row r="57" spans="1:6" x14ac:dyDescent="0.25">
      <c r="A57" s="175" t="s">
        <v>4</v>
      </c>
      <c r="B57" s="176" t="s">
        <v>74</v>
      </c>
      <c r="C57" s="176" t="s">
        <v>74</v>
      </c>
      <c r="D57" s="28">
        <v>0</v>
      </c>
      <c r="E57" s="28">
        <f>588295.06-293752.6</f>
        <v>294542.46000000008</v>
      </c>
      <c r="F57" s="30">
        <f t="shared" ref="F57" si="10">SUM(D57:E57)</f>
        <v>294542.46000000008</v>
      </c>
    </row>
    <row r="58" spans="1:6" x14ac:dyDescent="0.25">
      <c r="A58" s="175" t="s">
        <v>5</v>
      </c>
      <c r="B58" s="176" t="s">
        <v>10</v>
      </c>
      <c r="C58" s="176" t="s">
        <v>11</v>
      </c>
      <c r="D58" s="28">
        <v>0</v>
      </c>
      <c r="E58" s="28">
        <f>82882.18</f>
        <v>82882.179999999993</v>
      </c>
      <c r="F58" s="30">
        <f t="shared" ref="F58:F61" si="11">SUM(D58:E58)</f>
        <v>82882.179999999993</v>
      </c>
    </row>
    <row r="59" spans="1:6" x14ac:dyDescent="0.25">
      <c r="A59" s="175" t="s">
        <v>6</v>
      </c>
      <c r="B59" s="33" t="s">
        <v>275</v>
      </c>
      <c r="C59" s="176" t="s">
        <v>164</v>
      </c>
      <c r="D59" s="28">
        <v>0</v>
      </c>
      <c r="E59" s="28">
        <f>33696+13056+10752</f>
        <v>57504</v>
      </c>
      <c r="F59" s="30">
        <f t="shared" si="11"/>
        <v>57504</v>
      </c>
    </row>
    <row r="60" spans="1:6" x14ac:dyDescent="0.25">
      <c r="A60" s="175" t="s">
        <v>18</v>
      </c>
      <c r="B60" s="176" t="s">
        <v>256</v>
      </c>
      <c r="C60" s="176" t="s">
        <v>262</v>
      </c>
      <c r="D60" s="28">
        <v>0</v>
      </c>
      <c r="E60" s="28">
        <f>75651.01+75651.01</f>
        <v>151302.01999999999</v>
      </c>
      <c r="F60" s="30">
        <f t="shared" si="11"/>
        <v>151302.01999999999</v>
      </c>
    </row>
    <row r="61" spans="1:6" s="1" customFormat="1" x14ac:dyDescent="0.25">
      <c r="A61" s="175" t="s">
        <v>23</v>
      </c>
      <c r="B61" s="33" t="s">
        <v>13</v>
      </c>
      <c r="C61" s="176" t="s">
        <v>189</v>
      </c>
      <c r="D61" s="28">
        <v>0</v>
      </c>
      <c r="E61" s="28">
        <v>2064.4</v>
      </c>
      <c r="F61" s="30">
        <f t="shared" si="11"/>
        <v>2064.4</v>
      </c>
    </row>
    <row r="62" spans="1:6" x14ac:dyDescent="0.25">
      <c r="A62" s="253" t="s">
        <v>22</v>
      </c>
      <c r="B62" s="253"/>
      <c r="C62" s="253"/>
      <c r="D62" s="106">
        <f>SUM(D57:D61)</f>
        <v>0</v>
      </c>
      <c r="E62" s="106">
        <f>SUM(E57:E61)</f>
        <v>588295.06000000006</v>
      </c>
      <c r="F62" s="106">
        <f>SUM(F57:F61)</f>
        <v>588295.06000000006</v>
      </c>
    </row>
    <row r="63" spans="1:6" x14ac:dyDescent="0.25">
      <c r="A63" s="15">
        <v>4</v>
      </c>
      <c r="B63" s="254" t="s">
        <v>192</v>
      </c>
      <c r="C63" s="254"/>
      <c r="D63" s="254"/>
      <c r="E63" s="254"/>
      <c r="F63" s="254"/>
    </row>
    <row r="64" spans="1:6" x14ac:dyDescent="0.25">
      <c r="A64" s="253" t="s">
        <v>22</v>
      </c>
      <c r="B64" s="253"/>
      <c r="C64" s="253"/>
      <c r="D64" s="106">
        <v>0</v>
      </c>
      <c r="E64" s="106">
        <v>0</v>
      </c>
      <c r="F64" s="18">
        <v>0</v>
      </c>
    </row>
    <row r="65" spans="1:6" x14ac:dyDescent="0.25">
      <c r="A65" s="15">
        <v>5</v>
      </c>
      <c r="B65" s="267" t="s">
        <v>193</v>
      </c>
      <c r="C65" s="268"/>
      <c r="D65" s="268"/>
      <c r="E65" s="268"/>
      <c r="F65" s="269"/>
    </row>
    <row r="66" spans="1:6" x14ac:dyDescent="0.25">
      <c r="A66" s="175" t="s">
        <v>32</v>
      </c>
      <c r="B66" s="33" t="s">
        <v>3</v>
      </c>
      <c r="C66" s="176" t="s">
        <v>19</v>
      </c>
      <c r="D66" s="28">
        <v>0</v>
      </c>
      <c r="E66" s="28">
        <v>66887.320000000007</v>
      </c>
      <c r="F66" s="28">
        <f>SUM(D66:E66)</f>
        <v>66887.320000000007</v>
      </c>
    </row>
    <row r="67" spans="1:6" x14ac:dyDescent="0.25">
      <c r="A67" s="253" t="s">
        <v>22</v>
      </c>
      <c r="B67" s="253"/>
      <c r="C67" s="253"/>
      <c r="D67" s="106">
        <f>D66</f>
        <v>0</v>
      </c>
      <c r="E67" s="106">
        <f>E66</f>
        <v>66887.320000000007</v>
      </c>
      <c r="F67" s="18">
        <f>SUM(D67:E67)</f>
        <v>66887.320000000007</v>
      </c>
    </row>
    <row r="68" spans="1:6" x14ac:dyDescent="0.25">
      <c r="A68" s="255" t="s">
        <v>1</v>
      </c>
      <c r="B68" s="255"/>
      <c r="C68" s="255"/>
      <c r="D68" s="39">
        <f>D52+D55+D62+D64+D67</f>
        <v>350866</v>
      </c>
      <c r="E68" s="39">
        <f>E52+E55++E64+E67+E62</f>
        <v>991642.84000000008</v>
      </c>
      <c r="F68" s="39">
        <f>F52+F55+F62+F64+F67</f>
        <v>1342508.84</v>
      </c>
    </row>
    <row r="69" spans="1:6" x14ac:dyDescent="0.25">
      <c r="A69" s="10" t="s">
        <v>33</v>
      </c>
      <c r="B69" s="10"/>
      <c r="C69" s="11"/>
      <c r="D69" s="108"/>
      <c r="E69" s="108"/>
      <c r="F69" s="108"/>
    </row>
    <row r="71" spans="1:6" x14ac:dyDescent="0.25">
      <c r="A71" s="258" t="s">
        <v>316</v>
      </c>
      <c r="B71" s="258"/>
      <c r="C71" s="258"/>
      <c r="D71" s="258"/>
      <c r="E71" s="258"/>
      <c r="F71" s="258"/>
    </row>
    <row r="72" spans="1:6" ht="38.25" x14ac:dyDescent="0.25">
      <c r="A72" s="13" t="s">
        <v>27</v>
      </c>
      <c r="B72" s="13" t="s">
        <v>28</v>
      </c>
      <c r="C72" s="13" t="s">
        <v>29</v>
      </c>
      <c r="D72" s="14" t="s">
        <v>309</v>
      </c>
      <c r="E72" s="14" t="s">
        <v>310</v>
      </c>
      <c r="F72" s="14" t="s">
        <v>311</v>
      </c>
    </row>
    <row r="73" spans="1:6" x14ac:dyDescent="0.25">
      <c r="A73" s="15">
        <v>1</v>
      </c>
      <c r="B73" s="254" t="s">
        <v>190</v>
      </c>
      <c r="C73" s="254"/>
      <c r="D73" s="254"/>
      <c r="E73" s="254"/>
      <c r="F73" s="254"/>
    </row>
    <row r="74" spans="1:6" x14ac:dyDescent="0.25">
      <c r="A74" s="253" t="s">
        <v>22</v>
      </c>
      <c r="B74" s="253"/>
      <c r="C74" s="253"/>
      <c r="D74" s="106">
        <v>0</v>
      </c>
      <c r="E74" s="106">
        <v>0</v>
      </c>
      <c r="F74" s="106">
        <v>0</v>
      </c>
    </row>
    <row r="75" spans="1:6" x14ac:dyDescent="0.25">
      <c r="A75" s="15">
        <v>2</v>
      </c>
      <c r="B75" s="254" t="s">
        <v>191</v>
      </c>
      <c r="C75" s="254"/>
      <c r="D75" s="254"/>
      <c r="E75" s="254"/>
      <c r="F75" s="254"/>
    </row>
    <row r="76" spans="1:6" x14ac:dyDescent="0.25">
      <c r="A76" s="253" t="s">
        <v>22</v>
      </c>
      <c r="B76" s="253"/>
      <c r="C76" s="253"/>
      <c r="D76" s="106">
        <v>0</v>
      </c>
      <c r="E76" s="106">
        <v>0</v>
      </c>
      <c r="F76" s="106">
        <v>0</v>
      </c>
    </row>
    <row r="77" spans="1:6" x14ac:dyDescent="0.25">
      <c r="A77" s="15">
        <v>3</v>
      </c>
      <c r="B77" s="254" t="s">
        <v>187</v>
      </c>
      <c r="C77" s="254"/>
      <c r="D77" s="254"/>
      <c r="E77" s="254"/>
      <c r="F77" s="254"/>
    </row>
    <row r="78" spans="1:6" x14ac:dyDescent="0.25">
      <c r="A78" s="177" t="s">
        <v>4</v>
      </c>
      <c r="B78" s="178" t="s">
        <v>74</v>
      </c>
      <c r="C78" s="178" t="s">
        <v>74</v>
      </c>
      <c r="D78" s="28">
        <v>0</v>
      </c>
      <c r="E78" s="28">
        <f>600558.39-307503.73</f>
        <v>293054.66000000003</v>
      </c>
      <c r="F78" s="30">
        <f t="shared" ref="F78" si="12">SUM(D78:E78)</f>
        <v>293054.66000000003</v>
      </c>
    </row>
    <row r="79" spans="1:6" x14ac:dyDescent="0.25">
      <c r="A79" s="177" t="s">
        <v>5</v>
      </c>
      <c r="B79" s="178" t="s">
        <v>10</v>
      </c>
      <c r="C79" s="178" t="s">
        <v>11</v>
      </c>
      <c r="D79" s="28">
        <v>0</v>
      </c>
      <c r="E79" s="28">
        <f>82882.18</f>
        <v>82882.179999999993</v>
      </c>
      <c r="F79" s="30">
        <f t="shared" ref="F79:F82" si="13">SUM(D79:E79)</f>
        <v>82882.179999999993</v>
      </c>
    </row>
    <row r="80" spans="1:6" x14ac:dyDescent="0.25">
      <c r="A80" s="177" t="s">
        <v>6</v>
      </c>
      <c r="B80" s="33" t="s">
        <v>275</v>
      </c>
      <c r="C80" s="178" t="s">
        <v>317</v>
      </c>
      <c r="D80" s="28">
        <v>0</v>
      </c>
      <c r="E80" s="28">
        <v>67977</v>
      </c>
      <c r="F80" s="30">
        <f t="shared" si="13"/>
        <v>67977</v>
      </c>
    </row>
    <row r="81" spans="1:6" x14ac:dyDescent="0.25">
      <c r="A81" s="177" t="s">
        <v>18</v>
      </c>
      <c r="B81" s="178" t="s">
        <v>256</v>
      </c>
      <c r="C81" s="178" t="s">
        <v>262</v>
      </c>
      <c r="D81" s="28">
        <v>0</v>
      </c>
      <c r="E81" s="28">
        <f>75651.01+75651.02</f>
        <v>151302.03</v>
      </c>
      <c r="F81" s="30">
        <f t="shared" si="13"/>
        <v>151302.03</v>
      </c>
    </row>
    <row r="82" spans="1:6" x14ac:dyDescent="0.25">
      <c r="A82" s="177" t="s">
        <v>23</v>
      </c>
      <c r="B82" s="33" t="s">
        <v>13</v>
      </c>
      <c r="C82" s="178" t="s">
        <v>318</v>
      </c>
      <c r="D82" s="28">
        <v>0</v>
      </c>
      <c r="E82" s="28">
        <f>1273.83+13.27+1426.27+14.86+2587.33+26.96</f>
        <v>5342.5199999999995</v>
      </c>
      <c r="F82" s="30">
        <f t="shared" si="13"/>
        <v>5342.5199999999995</v>
      </c>
    </row>
    <row r="83" spans="1:6" x14ac:dyDescent="0.25">
      <c r="A83" s="253" t="s">
        <v>22</v>
      </c>
      <c r="B83" s="253"/>
      <c r="C83" s="253"/>
      <c r="D83" s="106">
        <f>SUM(D78:D82)</f>
        <v>0</v>
      </c>
      <c r="E83" s="106">
        <f>SUM(E78:E82)</f>
        <v>600558.39</v>
      </c>
      <c r="F83" s="106">
        <f>SUM(F78:F82)</f>
        <v>600558.39</v>
      </c>
    </row>
    <row r="84" spans="1:6" x14ac:dyDescent="0.25">
      <c r="A84" s="15">
        <v>4</v>
      </c>
      <c r="B84" s="254" t="s">
        <v>192</v>
      </c>
      <c r="C84" s="254"/>
      <c r="D84" s="254"/>
      <c r="E84" s="254"/>
      <c r="F84" s="254"/>
    </row>
    <row r="85" spans="1:6" x14ac:dyDescent="0.25">
      <c r="A85" s="253" t="s">
        <v>22</v>
      </c>
      <c r="B85" s="253"/>
      <c r="C85" s="253"/>
      <c r="D85" s="106">
        <v>0</v>
      </c>
      <c r="E85" s="106">
        <v>0</v>
      </c>
      <c r="F85" s="18">
        <v>0</v>
      </c>
    </row>
    <row r="86" spans="1:6" x14ac:dyDescent="0.25">
      <c r="A86" s="15">
        <v>5</v>
      </c>
      <c r="B86" s="267" t="s">
        <v>193</v>
      </c>
      <c r="C86" s="268"/>
      <c r="D86" s="268"/>
      <c r="E86" s="268"/>
      <c r="F86" s="269"/>
    </row>
    <row r="87" spans="1:6" x14ac:dyDescent="0.25">
      <c r="A87" s="177" t="s">
        <v>32</v>
      </c>
      <c r="B87" s="33" t="s">
        <v>3</v>
      </c>
      <c r="C87" s="178" t="s">
        <v>19</v>
      </c>
      <c r="D87" s="28">
        <v>0</v>
      </c>
      <c r="E87" s="28">
        <v>70727.899999999994</v>
      </c>
      <c r="F87" s="28">
        <f>SUM(D87:E87)</f>
        <v>70727.899999999994</v>
      </c>
    </row>
    <row r="88" spans="1:6" x14ac:dyDescent="0.25">
      <c r="A88" s="253" t="s">
        <v>22</v>
      </c>
      <c r="B88" s="253"/>
      <c r="C88" s="253"/>
      <c r="D88" s="106">
        <f>D87</f>
        <v>0</v>
      </c>
      <c r="E88" s="106">
        <f>E87</f>
        <v>70727.899999999994</v>
      </c>
      <c r="F88" s="18">
        <f>SUM(D88:E88)</f>
        <v>70727.899999999994</v>
      </c>
    </row>
    <row r="89" spans="1:6" x14ac:dyDescent="0.25">
      <c r="A89" s="255" t="s">
        <v>1</v>
      </c>
      <c r="B89" s="255"/>
      <c r="C89" s="255"/>
      <c r="D89" s="39">
        <f>D74+D76+D83+D85+D88</f>
        <v>0</v>
      </c>
      <c r="E89" s="39">
        <f>E74+E76++E85+E88+E83</f>
        <v>671286.29</v>
      </c>
      <c r="F89" s="39">
        <f>F74+F76+F83+F85+F88</f>
        <v>671286.29</v>
      </c>
    </row>
    <row r="90" spans="1:6" x14ac:dyDescent="0.25">
      <c r="A90" s="10" t="s">
        <v>33</v>
      </c>
      <c r="B90" s="10"/>
      <c r="C90" s="11"/>
      <c r="D90" s="108"/>
      <c r="E90" s="108"/>
      <c r="F90" s="108"/>
    </row>
    <row r="92" spans="1:6" x14ac:dyDescent="0.25">
      <c r="A92" s="258" t="s">
        <v>319</v>
      </c>
      <c r="B92" s="258"/>
      <c r="C92" s="258"/>
      <c r="D92" s="258"/>
      <c r="E92" s="258"/>
      <c r="F92" s="258"/>
    </row>
    <row r="93" spans="1:6" ht="38.25" x14ac:dyDescent="0.25">
      <c r="A93" s="13" t="s">
        <v>27</v>
      </c>
      <c r="B93" s="13" t="s">
        <v>28</v>
      </c>
      <c r="C93" s="13" t="s">
        <v>29</v>
      </c>
      <c r="D93" s="14" t="s">
        <v>309</v>
      </c>
      <c r="E93" s="14" t="s">
        <v>310</v>
      </c>
      <c r="F93" s="14" t="s">
        <v>311</v>
      </c>
    </row>
    <row r="94" spans="1:6" x14ac:dyDescent="0.25">
      <c r="A94" s="15">
        <v>1</v>
      </c>
      <c r="B94" s="254" t="s">
        <v>190</v>
      </c>
      <c r="C94" s="254"/>
      <c r="D94" s="254"/>
      <c r="E94" s="254"/>
      <c r="F94" s="254"/>
    </row>
    <row r="95" spans="1:6" s="1" customFormat="1" x14ac:dyDescent="0.25">
      <c r="A95" s="179" t="s">
        <v>48</v>
      </c>
      <c r="B95" s="52" t="s">
        <v>320</v>
      </c>
      <c r="C95" s="180" t="s">
        <v>321</v>
      </c>
      <c r="D95" s="28">
        <v>0</v>
      </c>
      <c r="E95" s="28">
        <v>147000.68</v>
      </c>
      <c r="F95" s="30">
        <f t="shared" ref="F95" si="14">SUM(D95:E95)</f>
        <v>147000.68</v>
      </c>
    </row>
    <row r="96" spans="1:6" x14ac:dyDescent="0.25">
      <c r="A96" s="253" t="s">
        <v>22</v>
      </c>
      <c r="B96" s="253"/>
      <c r="C96" s="253"/>
      <c r="D96" s="106">
        <v>0</v>
      </c>
      <c r="E96" s="106">
        <f>E95</f>
        <v>147000.68</v>
      </c>
      <c r="F96" s="106">
        <f>F95</f>
        <v>147000.68</v>
      </c>
    </row>
    <row r="97" spans="1:6" x14ac:dyDescent="0.25">
      <c r="A97" s="15">
        <v>2</v>
      </c>
      <c r="B97" s="254" t="s">
        <v>191</v>
      </c>
      <c r="C97" s="254"/>
      <c r="D97" s="254"/>
      <c r="E97" s="254"/>
      <c r="F97" s="254"/>
    </row>
    <row r="98" spans="1:6" x14ac:dyDescent="0.25">
      <c r="A98" s="253" t="s">
        <v>22</v>
      </c>
      <c r="B98" s="253"/>
      <c r="C98" s="253"/>
      <c r="D98" s="106">
        <v>0</v>
      </c>
      <c r="E98" s="106">
        <v>0</v>
      </c>
      <c r="F98" s="106">
        <v>0</v>
      </c>
    </row>
    <row r="99" spans="1:6" x14ac:dyDescent="0.25">
      <c r="A99" s="15">
        <v>3</v>
      </c>
      <c r="B99" s="254" t="s">
        <v>187</v>
      </c>
      <c r="C99" s="254"/>
      <c r="D99" s="254"/>
      <c r="E99" s="254"/>
      <c r="F99" s="254"/>
    </row>
    <row r="100" spans="1:6" x14ac:dyDescent="0.25">
      <c r="A100" s="179" t="s">
        <v>4</v>
      </c>
      <c r="B100" s="180" t="s">
        <v>74</v>
      </c>
      <c r="C100" s="180" t="s">
        <v>74</v>
      </c>
      <c r="D100" s="28">
        <v>0</v>
      </c>
      <c r="E100" s="28">
        <f>301726.67-3084.82</f>
        <v>298641.84999999998</v>
      </c>
      <c r="F100" s="30">
        <f t="shared" ref="F100" si="15">SUM(D100:E100)</f>
        <v>298641.84999999998</v>
      </c>
    </row>
    <row r="101" spans="1:6" x14ac:dyDescent="0.25">
      <c r="A101" s="179" t="s">
        <v>5</v>
      </c>
      <c r="B101" s="33" t="s">
        <v>13</v>
      </c>
      <c r="C101" s="180" t="s">
        <v>318</v>
      </c>
      <c r="D101" s="28">
        <v>0</v>
      </c>
      <c r="E101" s="28">
        <f>3053.01+31.81</f>
        <v>3084.82</v>
      </c>
      <c r="F101" s="30">
        <f t="shared" ref="F101" si="16">SUM(D101:E101)</f>
        <v>3084.82</v>
      </c>
    </row>
    <row r="102" spans="1:6" x14ac:dyDescent="0.25">
      <c r="A102" s="253" t="s">
        <v>22</v>
      </c>
      <c r="B102" s="253"/>
      <c r="C102" s="253"/>
      <c r="D102" s="106">
        <f>SUM(D100:D101)</f>
        <v>0</v>
      </c>
      <c r="E102" s="106">
        <f>SUM(E100:E101)</f>
        <v>301726.67</v>
      </c>
      <c r="F102" s="106">
        <f>SUM(F100:F101)</f>
        <v>301726.67</v>
      </c>
    </row>
    <row r="103" spans="1:6" x14ac:dyDescent="0.25">
      <c r="A103" s="15">
        <v>4</v>
      </c>
      <c r="B103" s="254" t="s">
        <v>192</v>
      </c>
      <c r="C103" s="254"/>
      <c r="D103" s="254"/>
      <c r="E103" s="254"/>
      <c r="F103" s="254"/>
    </row>
    <row r="104" spans="1:6" x14ac:dyDescent="0.25">
      <c r="A104" s="253" t="s">
        <v>22</v>
      </c>
      <c r="B104" s="253"/>
      <c r="C104" s="253"/>
      <c r="D104" s="106">
        <v>0</v>
      </c>
      <c r="E104" s="106">
        <v>0</v>
      </c>
      <c r="F104" s="18">
        <v>0</v>
      </c>
    </row>
    <row r="105" spans="1:6" x14ac:dyDescent="0.25">
      <c r="A105" s="15">
        <v>5</v>
      </c>
      <c r="B105" s="267" t="s">
        <v>193</v>
      </c>
      <c r="C105" s="268"/>
      <c r="D105" s="268"/>
      <c r="E105" s="268"/>
      <c r="F105" s="269"/>
    </row>
    <row r="106" spans="1:6" x14ac:dyDescent="0.25">
      <c r="A106" s="179" t="s">
        <v>32</v>
      </c>
      <c r="B106" s="33" t="s">
        <v>3</v>
      </c>
      <c r="C106" s="180" t="s">
        <v>19</v>
      </c>
      <c r="D106" s="28">
        <v>0</v>
      </c>
      <c r="E106" s="28">
        <v>79231.58</v>
      </c>
      <c r="F106" s="28">
        <f>SUM(D106:E106)</f>
        <v>79231.58</v>
      </c>
    </row>
    <row r="107" spans="1:6" x14ac:dyDescent="0.25">
      <c r="A107" s="253" t="s">
        <v>22</v>
      </c>
      <c r="B107" s="253"/>
      <c r="C107" s="253"/>
      <c r="D107" s="106">
        <f>D106</f>
        <v>0</v>
      </c>
      <c r="E107" s="106">
        <f>E106</f>
        <v>79231.58</v>
      </c>
      <c r="F107" s="18">
        <f>SUM(D107:E107)</f>
        <v>79231.58</v>
      </c>
    </row>
    <row r="108" spans="1:6" x14ac:dyDescent="0.25">
      <c r="A108" s="255" t="s">
        <v>1</v>
      </c>
      <c r="B108" s="255"/>
      <c r="C108" s="255"/>
      <c r="D108" s="39">
        <f>D96+D98+D102+D104+D107</f>
        <v>0</v>
      </c>
      <c r="E108" s="39">
        <f>E96+E98++E104+E107+E102</f>
        <v>527958.92999999993</v>
      </c>
      <c r="F108" s="39">
        <f>F96+F98+F102+F104+F107</f>
        <v>527958.92999999993</v>
      </c>
    </row>
    <row r="109" spans="1:6" x14ac:dyDescent="0.25">
      <c r="A109" s="10" t="s">
        <v>33</v>
      </c>
      <c r="B109" s="10"/>
      <c r="C109" s="11"/>
      <c r="D109" s="108"/>
      <c r="E109" s="108"/>
      <c r="F109" s="108"/>
    </row>
    <row r="111" spans="1:6" x14ac:dyDescent="0.25">
      <c r="A111" s="258" t="s">
        <v>322</v>
      </c>
      <c r="B111" s="258"/>
      <c r="C111" s="258"/>
      <c r="D111" s="258"/>
      <c r="E111" s="258"/>
      <c r="F111" s="258"/>
    </row>
    <row r="112" spans="1:6" ht="38.25" x14ac:dyDescent="0.25">
      <c r="A112" s="13" t="s">
        <v>27</v>
      </c>
      <c r="B112" s="13" t="s">
        <v>28</v>
      </c>
      <c r="C112" s="13" t="s">
        <v>29</v>
      </c>
      <c r="D112" s="14" t="s">
        <v>309</v>
      </c>
      <c r="E112" s="14" t="s">
        <v>310</v>
      </c>
      <c r="F112" s="14" t="s">
        <v>311</v>
      </c>
    </row>
    <row r="113" spans="1:6" x14ac:dyDescent="0.25">
      <c r="A113" s="15">
        <v>1</v>
      </c>
      <c r="B113" s="254" t="s">
        <v>190</v>
      </c>
      <c r="C113" s="254"/>
      <c r="D113" s="254"/>
      <c r="E113" s="254"/>
      <c r="F113" s="254"/>
    </row>
    <row r="114" spans="1:6" s="1" customFormat="1" x14ac:dyDescent="0.25">
      <c r="A114" s="179" t="s">
        <v>48</v>
      </c>
      <c r="B114" s="33" t="s">
        <v>243</v>
      </c>
      <c r="C114" s="180" t="s">
        <v>323</v>
      </c>
      <c r="D114" s="28">
        <v>0</v>
      </c>
      <c r="E114" s="28">
        <v>10512.5</v>
      </c>
      <c r="F114" s="30">
        <f t="shared" ref="F114:F115" si="17">SUM(D114:E114)</f>
        <v>10512.5</v>
      </c>
    </row>
    <row r="115" spans="1:6" x14ac:dyDescent="0.25">
      <c r="A115" s="253" t="s">
        <v>22</v>
      </c>
      <c r="B115" s="253"/>
      <c r="C115" s="253"/>
      <c r="D115" s="106">
        <v>0</v>
      </c>
      <c r="E115" s="183">
        <v>10512.5</v>
      </c>
      <c r="F115" s="20">
        <f t="shared" si="17"/>
        <v>10512.5</v>
      </c>
    </row>
    <row r="116" spans="1:6" x14ac:dyDescent="0.25">
      <c r="A116" s="15">
        <v>2</v>
      </c>
      <c r="B116" s="254" t="s">
        <v>191</v>
      </c>
      <c r="C116" s="254"/>
      <c r="D116" s="254"/>
      <c r="E116" s="254"/>
      <c r="F116" s="254"/>
    </row>
    <row r="117" spans="1:6" x14ac:dyDescent="0.25">
      <c r="A117" s="253" t="s">
        <v>22</v>
      </c>
      <c r="B117" s="253"/>
      <c r="C117" s="253"/>
      <c r="D117" s="106">
        <v>0</v>
      </c>
      <c r="E117" s="106">
        <v>0</v>
      </c>
      <c r="F117" s="106">
        <v>0</v>
      </c>
    </row>
    <row r="118" spans="1:6" x14ac:dyDescent="0.25">
      <c r="A118" s="15">
        <v>3</v>
      </c>
      <c r="B118" s="254" t="s">
        <v>187</v>
      </c>
      <c r="C118" s="254"/>
      <c r="D118" s="254"/>
      <c r="E118" s="254"/>
      <c r="F118" s="254"/>
    </row>
    <row r="119" spans="1:6" x14ac:dyDescent="0.25">
      <c r="A119" s="179" t="s">
        <v>4</v>
      </c>
      <c r="B119" s="180" t="s">
        <v>74</v>
      </c>
      <c r="C119" s="180" t="s">
        <v>74</v>
      </c>
      <c r="D119" s="28">
        <v>0</v>
      </c>
      <c r="E119" s="28">
        <f>589843.25-281369.52</f>
        <v>308473.73</v>
      </c>
      <c r="F119" s="30">
        <f t="shared" ref="F119" si="18">SUM(D119:E119)</f>
        <v>308473.73</v>
      </c>
    </row>
    <row r="120" spans="1:6" x14ac:dyDescent="0.25">
      <c r="A120" s="179" t="s">
        <v>5</v>
      </c>
      <c r="B120" s="180" t="s">
        <v>10</v>
      </c>
      <c r="C120" s="180" t="s">
        <v>11</v>
      </c>
      <c r="D120" s="28">
        <v>0</v>
      </c>
      <c r="E120" s="28">
        <v>82882.179999999993</v>
      </c>
      <c r="F120" s="30">
        <f t="shared" ref="F120:F123" si="19">SUM(D120:E120)</f>
        <v>82882.179999999993</v>
      </c>
    </row>
    <row r="121" spans="1:6" x14ac:dyDescent="0.25">
      <c r="A121" s="179" t="s">
        <v>6</v>
      </c>
      <c r="B121" s="33" t="s">
        <v>275</v>
      </c>
      <c r="C121" s="180" t="s">
        <v>317</v>
      </c>
      <c r="D121" s="28">
        <v>0</v>
      </c>
      <c r="E121" s="28">
        <f>25398+600+18822</f>
        <v>44820</v>
      </c>
      <c r="F121" s="30">
        <f t="shared" si="19"/>
        <v>44820</v>
      </c>
    </row>
    <row r="122" spans="1:6" x14ac:dyDescent="0.25">
      <c r="A122" s="179" t="s">
        <v>18</v>
      </c>
      <c r="B122" s="180" t="s">
        <v>256</v>
      </c>
      <c r="C122" s="180" t="s">
        <v>262</v>
      </c>
      <c r="D122" s="28">
        <v>0</v>
      </c>
      <c r="E122" s="28">
        <f>75651.01+75651.02</f>
        <v>151302.03</v>
      </c>
      <c r="F122" s="30">
        <f t="shared" si="19"/>
        <v>151302.03</v>
      </c>
    </row>
    <row r="123" spans="1:6" x14ac:dyDescent="0.25">
      <c r="A123" s="179" t="s">
        <v>23</v>
      </c>
      <c r="B123" s="33" t="s">
        <v>13</v>
      </c>
      <c r="C123" s="180" t="s">
        <v>318</v>
      </c>
      <c r="D123" s="28">
        <v>0</v>
      </c>
      <c r="E123" s="28">
        <f>1831.39+19.08</f>
        <v>1850.47</v>
      </c>
      <c r="F123" s="30">
        <f t="shared" si="19"/>
        <v>1850.47</v>
      </c>
    </row>
    <row r="124" spans="1:6" s="1" customFormat="1" x14ac:dyDescent="0.25">
      <c r="A124" s="179" t="s">
        <v>24</v>
      </c>
      <c r="B124" s="33" t="s">
        <v>13</v>
      </c>
      <c r="C124" s="180" t="s">
        <v>324</v>
      </c>
      <c r="D124" s="28">
        <v>0</v>
      </c>
      <c r="E124" s="28">
        <f>514.84</f>
        <v>514.84</v>
      </c>
      <c r="F124" s="30">
        <f t="shared" ref="F124:F127" si="20">SUM(D124:E124)</f>
        <v>514.84</v>
      </c>
    </row>
    <row r="125" spans="1:6" s="1" customFormat="1" x14ac:dyDescent="0.25">
      <c r="A125" s="274" t="s">
        <v>25</v>
      </c>
      <c r="B125" s="272" t="s">
        <v>132</v>
      </c>
      <c r="C125" s="180" t="s">
        <v>326</v>
      </c>
      <c r="D125" s="28">
        <v>0</v>
      </c>
      <c r="E125" s="28">
        <f>14393.04</f>
        <v>14393.04</v>
      </c>
      <c r="F125" s="30">
        <f t="shared" si="20"/>
        <v>14393.04</v>
      </c>
    </row>
    <row r="126" spans="1:6" s="1" customFormat="1" x14ac:dyDescent="0.25">
      <c r="A126" s="275"/>
      <c r="B126" s="273"/>
      <c r="C126" s="180" t="s">
        <v>327</v>
      </c>
      <c r="D126" s="28">
        <v>0</v>
      </c>
      <c r="E126" s="28">
        <v>8428.19</v>
      </c>
      <c r="F126" s="30">
        <f t="shared" si="20"/>
        <v>8428.19</v>
      </c>
    </row>
    <row r="127" spans="1:6" s="1" customFormat="1" x14ac:dyDescent="0.25">
      <c r="A127" s="179" t="s">
        <v>41</v>
      </c>
      <c r="B127" s="33" t="s">
        <v>325</v>
      </c>
      <c r="C127" s="180" t="s">
        <v>113</v>
      </c>
      <c r="D127" s="28">
        <v>0</v>
      </c>
      <c r="E127" s="28">
        <f>21792+683.21</f>
        <v>22475.21</v>
      </c>
      <c r="F127" s="30">
        <f t="shared" si="20"/>
        <v>22475.21</v>
      </c>
    </row>
    <row r="128" spans="1:6" x14ac:dyDescent="0.25">
      <c r="A128" s="253" t="s">
        <v>22</v>
      </c>
      <c r="B128" s="253"/>
      <c r="C128" s="253"/>
      <c r="D128" s="106">
        <f>SUM(D119:D123)</f>
        <v>0</v>
      </c>
      <c r="E128" s="106">
        <f>SUM(E119:E127)</f>
        <v>635139.68999999983</v>
      </c>
      <c r="F128" s="106">
        <f>SUM(F119:F127)</f>
        <v>635139.68999999983</v>
      </c>
    </row>
    <row r="129" spans="1:10" x14ac:dyDescent="0.25">
      <c r="A129" s="15">
        <v>4</v>
      </c>
      <c r="B129" s="254" t="s">
        <v>192</v>
      </c>
      <c r="C129" s="254"/>
      <c r="D129" s="254"/>
      <c r="E129" s="254"/>
      <c r="F129" s="254"/>
    </row>
    <row r="130" spans="1:10" x14ac:dyDescent="0.25">
      <c r="A130" s="253" t="s">
        <v>22</v>
      </c>
      <c r="B130" s="253"/>
      <c r="C130" s="253"/>
      <c r="D130" s="106">
        <v>0</v>
      </c>
      <c r="E130" s="106">
        <v>0</v>
      </c>
      <c r="F130" s="18">
        <v>0</v>
      </c>
    </row>
    <row r="131" spans="1:10" x14ac:dyDescent="0.25">
      <c r="A131" s="15">
        <v>5</v>
      </c>
      <c r="B131" s="267" t="s">
        <v>193</v>
      </c>
      <c r="C131" s="268"/>
      <c r="D131" s="268"/>
      <c r="E131" s="268"/>
      <c r="F131" s="269"/>
    </row>
    <row r="132" spans="1:10" x14ac:dyDescent="0.25">
      <c r="A132" s="179" t="s">
        <v>32</v>
      </c>
      <c r="B132" s="33" t="s">
        <v>3</v>
      </c>
      <c r="C132" s="180" t="s">
        <v>19</v>
      </c>
      <c r="D132" s="28">
        <v>0</v>
      </c>
      <c r="E132" s="28">
        <v>79194.210000000006</v>
      </c>
      <c r="F132" s="28">
        <f>SUM(D132:E132)</f>
        <v>79194.210000000006</v>
      </c>
    </row>
    <row r="133" spans="1:10" x14ac:dyDescent="0.25">
      <c r="A133" s="253" t="s">
        <v>22</v>
      </c>
      <c r="B133" s="253"/>
      <c r="C133" s="253"/>
      <c r="D133" s="106">
        <f>D132</f>
        <v>0</v>
      </c>
      <c r="E133" s="106">
        <f>E132</f>
        <v>79194.210000000006</v>
      </c>
      <c r="F133" s="18">
        <f>SUM(D133:E133)</f>
        <v>79194.210000000006</v>
      </c>
    </row>
    <row r="134" spans="1:10" x14ac:dyDescent="0.25">
      <c r="A134" s="255" t="s">
        <v>1</v>
      </c>
      <c r="B134" s="255"/>
      <c r="C134" s="255"/>
      <c r="D134" s="39">
        <f>D115+D117+D128+D130+D133</f>
        <v>0</v>
      </c>
      <c r="E134" s="39">
        <f>E115+E117++E130+E133+E128</f>
        <v>724846.39999999979</v>
      </c>
      <c r="F134" s="39">
        <f>F115+F117+F128+F130+F133</f>
        <v>724846.39999999979</v>
      </c>
    </row>
    <row r="135" spans="1:10" x14ac:dyDescent="0.25">
      <c r="A135" s="10" t="s">
        <v>33</v>
      </c>
      <c r="B135" s="10"/>
      <c r="C135" s="11"/>
      <c r="D135" s="108"/>
      <c r="E135" s="108"/>
      <c r="F135" s="108"/>
    </row>
    <row r="137" spans="1:10" x14ac:dyDescent="0.25">
      <c r="A137" s="258" t="s">
        <v>328</v>
      </c>
      <c r="B137" s="258"/>
      <c r="C137" s="258"/>
      <c r="D137" s="258"/>
      <c r="E137" s="258"/>
      <c r="F137" s="258"/>
    </row>
    <row r="138" spans="1:10" ht="38.25" x14ac:dyDescent="0.25">
      <c r="A138" s="13" t="s">
        <v>27</v>
      </c>
      <c r="B138" s="13" t="s">
        <v>28</v>
      </c>
      <c r="C138" s="13" t="s">
        <v>29</v>
      </c>
      <c r="D138" s="14" t="s">
        <v>309</v>
      </c>
      <c r="E138" s="14" t="s">
        <v>310</v>
      </c>
      <c r="F138" s="14" t="s">
        <v>311</v>
      </c>
    </row>
    <row r="139" spans="1:10" x14ac:dyDescent="0.25">
      <c r="A139" s="15">
        <v>1</v>
      </c>
      <c r="B139" s="254" t="s">
        <v>190</v>
      </c>
      <c r="C139" s="254"/>
      <c r="D139" s="254"/>
      <c r="E139" s="254"/>
      <c r="F139" s="254"/>
    </row>
    <row r="140" spans="1:10" x14ac:dyDescent="0.25">
      <c r="A140" s="181" t="s">
        <v>48</v>
      </c>
      <c r="B140" s="33" t="s">
        <v>243</v>
      </c>
      <c r="C140" s="182" t="s">
        <v>330</v>
      </c>
      <c r="D140" s="28">
        <v>0</v>
      </c>
      <c r="E140" s="28">
        <v>24535.9</v>
      </c>
      <c r="F140" s="30">
        <f t="shared" ref="F140:F142" si="21">SUM(D140:E140)</f>
        <v>24535.9</v>
      </c>
    </row>
    <row r="141" spans="1:10" s="1" customFormat="1" x14ac:dyDescent="0.25">
      <c r="A141" s="181" t="s">
        <v>70</v>
      </c>
      <c r="B141" s="33" t="s">
        <v>331</v>
      </c>
      <c r="C141" s="182" t="s">
        <v>321</v>
      </c>
      <c r="D141" s="28">
        <v>0</v>
      </c>
      <c r="E141" s="28">
        <v>52025.61</v>
      </c>
      <c r="F141" s="30">
        <f t="shared" si="21"/>
        <v>52025.61</v>
      </c>
    </row>
    <row r="142" spans="1:10" x14ac:dyDescent="0.25">
      <c r="A142" s="253" t="s">
        <v>22</v>
      </c>
      <c r="B142" s="253"/>
      <c r="C142" s="253"/>
      <c r="D142" s="106">
        <v>0</v>
      </c>
      <c r="E142" s="183">
        <f>SUM(E140:E141)</f>
        <v>76561.510000000009</v>
      </c>
      <c r="F142" s="20">
        <f t="shared" si="21"/>
        <v>76561.510000000009</v>
      </c>
      <c r="J142" t="s">
        <v>329</v>
      </c>
    </row>
    <row r="143" spans="1:10" x14ac:dyDescent="0.25">
      <c r="A143" s="15">
        <v>2</v>
      </c>
      <c r="B143" s="254" t="s">
        <v>191</v>
      </c>
      <c r="C143" s="254"/>
      <c r="D143" s="254"/>
      <c r="E143" s="254"/>
      <c r="F143" s="254"/>
    </row>
    <row r="144" spans="1:10" x14ac:dyDescent="0.25">
      <c r="A144" s="253" t="s">
        <v>22</v>
      </c>
      <c r="B144" s="253"/>
      <c r="C144" s="253"/>
      <c r="D144" s="106">
        <v>0</v>
      </c>
      <c r="E144" s="106">
        <v>0</v>
      </c>
      <c r="F144" s="106">
        <v>0</v>
      </c>
    </row>
    <row r="145" spans="1:6" x14ac:dyDescent="0.25">
      <c r="A145" s="15">
        <v>3</v>
      </c>
      <c r="B145" s="254" t="s">
        <v>187</v>
      </c>
      <c r="C145" s="254"/>
      <c r="D145" s="254"/>
      <c r="E145" s="254"/>
      <c r="F145" s="254"/>
    </row>
    <row r="146" spans="1:6" x14ac:dyDescent="0.25">
      <c r="A146" s="181" t="s">
        <v>4</v>
      </c>
      <c r="B146" s="182" t="s">
        <v>74</v>
      </c>
      <c r="C146" s="182" t="s">
        <v>74</v>
      </c>
      <c r="D146" s="28">
        <v>0</v>
      </c>
      <c r="E146" s="28">
        <f>553804.32-265214.75</f>
        <v>288589.56999999995</v>
      </c>
      <c r="F146" s="30">
        <f t="shared" ref="F146" si="22">SUM(D146:E146)</f>
        <v>288589.56999999995</v>
      </c>
    </row>
    <row r="147" spans="1:6" x14ac:dyDescent="0.25">
      <c r="A147" s="181" t="s">
        <v>5</v>
      </c>
      <c r="B147" s="182" t="s">
        <v>10</v>
      </c>
      <c r="C147" s="182" t="s">
        <v>11</v>
      </c>
      <c r="D147" s="28">
        <v>0</v>
      </c>
      <c r="E147" s="28">
        <f>64927.46</f>
        <v>64927.46</v>
      </c>
      <c r="F147" s="30">
        <f t="shared" ref="F147:F150" si="23">SUM(D147:E147)</f>
        <v>64927.46</v>
      </c>
    </row>
    <row r="148" spans="1:6" x14ac:dyDescent="0.25">
      <c r="A148" s="181" t="s">
        <v>6</v>
      </c>
      <c r="B148" s="33" t="s">
        <v>275</v>
      </c>
      <c r="C148" s="182" t="s">
        <v>317</v>
      </c>
      <c r="D148" s="28">
        <v>0</v>
      </c>
      <c r="E148" s="28">
        <f>46314</f>
        <v>46314</v>
      </c>
      <c r="F148" s="30">
        <f t="shared" si="23"/>
        <v>46314</v>
      </c>
    </row>
    <row r="149" spans="1:6" x14ac:dyDescent="0.25">
      <c r="A149" s="181" t="s">
        <v>18</v>
      </c>
      <c r="B149" s="182" t="s">
        <v>256</v>
      </c>
      <c r="C149" s="182" t="s">
        <v>262</v>
      </c>
      <c r="D149" s="28">
        <v>0</v>
      </c>
      <c r="E149" s="28">
        <f>73351.33+2299.68+73351.33+2299.69</f>
        <v>151302.03</v>
      </c>
      <c r="F149" s="30">
        <f t="shared" si="23"/>
        <v>151302.03</v>
      </c>
    </row>
    <row r="150" spans="1:6" x14ac:dyDescent="0.25">
      <c r="A150" s="274" t="s">
        <v>23</v>
      </c>
      <c r="B150" s="272" t="s">
        <v>13</v>
      </c>
      <c r="C150" s="182" t="s">
        <v>318</v>
      </c>
      <c r="D150" s="28">
        <v>0</v>
      </c>
      <c r="E150" s="28">
        <f>1804.24+18.8</f>
        <v>1823.04</v>
      </c>
      <c r="F150" s="30">
        <f t="shared" si="23"/>
        <v>1823.04</v>
      </c>
    </row>
    <row r="151" spans="1:6" x14ac:dyDescent="0.25">
      <c r="A151" s="275"/>
      <c r="B151" s="273"/>
      <c r="C151" s="182" t="s">
        <v>324</v>
      </c>
      <c r="D151" s="28">
        <v>0</v>
      </c>
      <c r="E151" s="28">
        <f>848.22</f>
        <v>848.22</v>
      </c>
      <c r="F151" s="30">
        <f t="shared" ref="F151:F154" si="24">SUM(D151:E151)</f>
        <v>848.22</v>
      </c>
    </row>
    <row r="152" spans="1:6" x14ac:dyDescent="0.25">
      <c r="A152" s="274" t="s">
        <v>24</v>
      </c>
      <c r="B152" s="272" t="s">
        <v>132</v>
      </c>
      <c r="C152" s="182" t="s">
        <v>326</v>
      </c>
      <c r="D152" s="28">
        <v>0</v>
      </c>
      <c r="E152" s="28">
        <f>14393.04</f>
        <v>14393.04</v>
      </c>
      <c r="F152" s="30">
        <f t="shared" si="24"/>
        <v>14393.04</v>
      </c>
    </row>
    <row r="153" spans="1:6" x14ac:dyDescent="0.25">
      <c r="A153" s="275"/>
      <c r="B153" s="273"/>
      <c r="C153" s="182" t="s">
        <v>327</v>
      </c>
      <c r="D153" s="28">
        <v>0</v>
      </c>
      <c r="E153" s="28">
        <v>8428.19</v>
      </c>
      <c r="F153" s="30">
        <f t="shared" si="24"/>
        <v>8428.19</v>
      </c>
    </row>
    <row r="154" spans="1:6" ht="25.5" x14ac:dyDescent="0.25">
      <c r="A154" s="181" t="s">
        <v>25</v>
      </c>
      <c r="B154" s="190" t="s">
        <v>332</v>
      </c>
      <c r="C154" s="182" t="s">
        <v>333</v>
      </c>
      <c r="D154" s="28">
        <v>0</v>
      </c>
      <c r="E154" s="28">
        <f>28659.13+1294.63+28659.13+1294.63</f>
        <v>59907.519999999997</v>
      </c>
      <c r="F154" s="30">
        <f t="shared" si="24"/>
        <v>59907.519999999997</v>
      </c>
    </row>
    <row r="155" spans="1:6" x14ac:dyDescent="0.25">
      <c r="A155" s="253" t="s">
        <v>22</v>
      </c>
      <c r="B155" s="253"/>
      <c r="C155" s="253"/>
      <c r="D155" s="106">
        <f>SUM(D146:D150)</f>
        <v>0</v>
      </c>
      <c r="E155" s="106">
        <f>SUM(E146:E154)</f>
        <v>636533.06999999995</v>
      </c>
      <c r="F155" s="106">
        <f>SUM(F146:F154)</f>
        <v>636533.06999999995</v>
      </c>
    </row>
    <row r="156" spans="1:6" x14ac:dyDescent="0.25">
      <c r="A156" s="15">
        <v>4</v>
      </c>
      <c r="B156" s="254" t="s">
        <v>192</v>
      </c>
      <c r="C156" s="254"/>
      <c r="D156" s="254"/>
      <c r="E156" s="254"/>
      <c r="F156" s="254"/>
    </row>
    <row r="157" spans="1:6" x14ac:dyDescent="0.25">
      <c r="A157" s="253" t="s">
        <v>22</v>
      </c>
      <c r="B157" s="253"/>
      <c r="C157" s="253"/>
      <c r="D157" s="106">
        <v>0</v>
      </c>
      <c r="E157" s="106">
        <v>0</v>
      </c>
      <c r="F157" s="18">
        <v>0</v>
      </c>
    </row>
    <row r="158" spans="1:6" x14ac:dyDescent="0.25">
      <c r="A158" s="15">
        <v>5</v>
      </c>
      <c r="B158" s="267" t="s">
        <v>193</v>
      </c>
      <c r="C158" s="268"/>
      <c r="D158" s="268"/>
      <c r="E158" s="268"/>
      <c r="F158" s="269"/>
    </row>
    <row r="159" spans="1:6" x14ac:dyDescent="0.25">
      <c r="A159" s="181" t="s">
        <v>32</v>
      </c>
      <c r="B159" s="33" t="s">
        <v>3</v>
      </c>
      <c r="C159" s="182" t="s">
        <v>19</v>
      </c>
      <c r="D159" s="28">
        <v>0</v>
      </c>
      <c r="E159" s="28">
        <v>98774.86</v>
      </c>
      <c r="F159" s="28">
        <f>SUM(D159:E159)</f>
        <v>98774.86</v>
      </c>
    </row>
    <row r="160" spans="1:6" x14ac:dyDescent="0.25">
      <c r="A160" s="253" t="s">
        <v>22</v>
      </c>
      <c r="B160" s="253"/>
      <c r="C160" s="253"/>
      <c r="D160" s="106">
        <f>D159</f>
        <v>0</v>
      </c>
      <c r="E160" s="106">
        <f>E159</f>
        <v>98774.86</v>
      </c>
      <c r="F160" s="18">
        <f>SUM(D160:E160)</f>
        <v>98774.86</v>
      </c>
    </row>
    <row r="161" spans="1:6" x14ac:dyDescent="0.25">
      <c r="A161" s="255" t="s">
        <v>1</v>
      </c>
      <c r="B161" s="255"/>
      <c r="C161" s="255"/>
      <c r="D161" s="39">
        <f>D142+D144+D155+D157+D160</f>
        <v>0</v>
      </c>
      <c r="E161" s="39">
        <f>E142+E144++E157+E160+E155</f>
        <v>811869.44</v>
      </c>
      <c r="F161" s="39">
        <f>F142+F144+F155+F157+F160</f>
        <v>811869.44</v>
      </c>
    </row>
    <row r="162" spans="1:6" x14ac:dyDescent="0.25">
      <c r="A162" s="10" t="s">
        <v>33</v>
      </c>
      <c r="B162" s="10"/>
      <c r="C162" s="11"/>
      <c r="D162" s="108"/>
      <c r="E162" s="108"/>
      <c r="F162" s="108"/>
    </row>
    <row r="164" spans="1:6" x14ac:dyDescent="0.25">
      <c r="A164" s="258" t="s">
        <v>334</v>
      </c>
      <c r="B164" s="258"/>
      <c r="C164" s="258"/>
      <c r="D164" s="258"/>
      <c r="E164" s="258"/>
      <c r="F164" s="258"/>
    </row>
    <row r="165" spans="1:6" ht="38.25" x14ac:dyDescent="0.25">
      <c r="A165" s="13" t="s">
        <v>27</v>
      </c>
      <c r="B165" s="13" t="s">
        <v>28</v>
      </c>
      <c r="C165" s="13" t="s">
        <v>29</v>
      </c>
      <c r="D165" s="14" t="s">
        <v>309</v>
      </c>
      <c r="E165" s="14" t="s">
        <v>310</v>
      </c>
      <c r="F165" s="14" t="s">
        <v>311</v>
      </c>
    </row>
    <row r="166" spans="1:6" x14ac:dyDescent="0.25">
      <c r="A166" s="15">
        <v>1</v>
      </c>
      <c r="B166" s="254" t="s">
        <v>190</v>
      </c>
      <c r="C166" s="254"/>
      <c r="D166" s="254"/>
      <c r="E166" s="254"/>
      <c r="F166" s="254"/>
    </row>
    <row r="167" spans="1:6" x14ac:dyDescent="0.25">
      <c r="A167" s="184" t="s">
        <v>48</v>
      </c>
      <c r="B167" s="33" t="s">
        <v>331</v>
      </c>
      <c r="C167" s="185" t="s">
        <v>321</v>
      </c>
      <c r="D167" s="28">
        <v>0</v>
      </c>
      <c r="E167" s="28">
        <v>52025.61</v>
      </c>
      <c r="F167" s="30">
        <f t="shared" ref="F167:F168" si="25">SUM(D167:E167)</f>
        <v>52025.61</v>
      </c>
    </row>
    <row r="168" spans="1:6" x14ac:dyDescent="0.25">
      <c r="A168" s="253" t="s">
        <v>22</v>
      </c>
      <c r="B168" s="253"/>
      <c r="C168" s="253"/>
      <c r="D168" s="106">
        <v>0</v>
      </c>
      <c r="E168" s="183">
        <f>SUM(E167:E167)</f>
        <v>52025.61</v>
      </c>
      <c r="F168" s="20">
        <f t="shared" si="25"/>
        <v>52025.61</v>
      </c>
    </row>
    <row r="169" spans="1:6" x14ac:dyDescent="0.25">
      <c r="A169" s="15">
        <v>2</v>
      </c>
      <c r="B169" s="254" t="s">
        <v>191</v>
      </c>
      <c r="C169" s="254"/>
      <c r="D169" s="254"/>
      <c r="E169" s="254"/>
      <c r="F169" s="254"/>
    </row>
    <row r="170" spans="1:6" x14ac:dyDescent="0.25">
      <c r="A170" s="253" t="s">
        <v>22</v>
      </c>
      <c r="B170" s="253"/>
      <c r="C170" s="253"/>
      <c r="D170" s="106">
        <v>0</v>
      </c>
      <c r="E170" s="106">
        <v>0</v>
      </c>
      <c r="F170" s="106">
        <v>0</v>
      </c>
    </row>
    <row r="171" spans="1:6" x14ac:dyDescent="0.25">
      <c r="A171" s="15">
        <v>3</v>
      </c>
      <c r="B171" s="254" t="s">
        <v>187</v>
      </c>
      <c r="C171" s="254"/>
      <c r="D171" s="254"/>
      <c r="E171" s="254"/>
      <c r="F171" s="254"/>
    </row>
    <row r="172" spans="1:6" x14ac:dyDescent="0.25">
      <c r="A172" s="184" t="s">
        <v>4</v>
      </c>
      <c r="B172" s="185" t="s">
        <v>74</v>
      </c>
      <c r="C172" s="185" t="s">
        <v>74</v>
      </c>
      <c r="D172" s="28">
        <v>0</v>
      </c>
      <c r="E172" s="28">
        <f>694207.97-397475.93</f>
        <v>296732.03999999998</v>
      </c>
      <c r="F172" s="30">
        <f t="shared" ref="F172" si="26">SUM(D172:E172)</f>
        <v>296732.03999999998</v>
      </c>
    </row>
    <row r="173" spans="1:6" x14ac:dyDescent="0.25">
      <c r="A173" s="184" t="s">
        <v>5</v>
      </c>
      <c r="B173" s="185" t="s">
        <v>10</v>
      </c>
      <c r="C173" s="185" t="s">
        <v>11</v>
      </c>
      <c r="D173" s="28">
        <v>0</v>
      </c>
      <c r="E173" s="28">
        <v>44892.62</v>
      </c>
      <c r="F173" s="30">
        <f t="shared" ref="F173:F176" si="27">SUM(D173:E173)</f>
        <v>44892.62</v>
      </c>
    </row>
    <row r="174" spans="1:6" x14ac:dyDescent="0.25">
      <c r="A174" s="184" t="s">
        <v>6</v>
      </c>
      <c r="B174" s="33" t="s">
        <v>275</v>
      </c>
      <c r="C174" s="185" t="s">
        <v>317</v>
      </c>
      <c r="D174" s="28">
        <v>0</v>
      </c>
      <c r="E174" s="28">
        <v>48555</v>
      </c>
      <c r="F174" s="30">
        <f t="shared" si="27"/>
        <v>48555</v>
      </c>
    </row>
    <row r="175" spans="1:6" x14ac:dyDescent="0.25">
      <c r="A175" s="184" t="s">
        <v>18</v>
      </c>
      <c r="B175" s="185" t="s">
        <v>256</v>
      </c>
      <c r="C175" s="185" t="s">
        <v>262</v>
      </c>
      <c r="D175" s="28">
        <v>0</v>
      </c>
      <c r="E175" s="28">
        <f>73351.33+2299.68+73351.33+2299.69+73351.33+2299.68+73351.33+2299.69</f>
        <v>302604.06</v>
      </c>
      <c r="F175" s="30">
        <f t="shared" si="27"/>
        <v>302604.06</v>
      </c>
    </row>
    <row r="176" spans="1:6" x14ac:dyDescent="0.25">
      <c r="A176" s="274" t="s">
        <v>23</v>
      </c>
      <c r="B176" s="272" t="s">
        <v>13</v>
      </c>
      <c r="C176" s="185" t="s">
        <v>318</v>
      </c>
      <c r="D176" s="28">
        <v>0</v>
      </c>
      <c r="E176" s="28">
        <f>862.44+8.99</f>
        <v>871.43000000000006</v>
      </c>
      <c r="F176" s="30">
        <f t="shared" si="27"/>
        <v>871.43000000000006</v>
      </c>
    </row>
    <row r="177" spans="1:6" x14ac:dyDescent="0.25">
      <c r="A177" s="275"/>
      <c r="B177" s="273"/>
      <c r="C177" s="185" t="s">
        <v>324</v>
      </c>
      <c r="D177" s="28">
        <v>0</v>
      </c>
      <c r="E177" s="28">
        <v>552.82000000000005</v>
      </c>
      <c r="F177" s="30">
        <f t="shared" ref="F177:F179" si="28">SUM(D177:E177)</f>
        <v>552.82000000000005</v>
      </c>
    </row>
    <row r="178" spans="1:6" x14ac:dyDescent="0.25">
      <c r="A178" s="188" t="s">
        <v>24</v>
      </c>
      <c r="B178" s="186" t="s">
        <v>132</v>
      </c>
      <c r="C178" s="185" t="s">
        <v>326</v>
      </c>
      <c r="D178" s="28">
        <v>0</v>
      </c>
      <c r="E178" s="28">
        <f>14393.04</f>
        <v>14393.04</v>
      </c>
      <c r="F178" s="30">
        <f t="shared" si="28"/>
        <v>14393.04</v>
      </c>
    </row>
    <row r="179" spans="1:6" ht="25.5" x14ac:dyDescent="0.25">
      <c r="A179" s="184" t="s">
        <v>25</v>
      </c>
      <c r="B179" s="190" t="s">
        <v>332</v>
      </c>
      <c r="C179" s="185" t="s">
        <v>333</v>
      </c>
      <c r="D179" s="28">
        <v>0</v>
      </c>
      <c r="E179" s="28">
        <f>28659.13+1294.63</f>
        <v>29953.760000000002</v>
      </c>
      <c r="F179" s="30">
        <f t="shared" si="28"/>
        <v>29953.760000000002</v>
      </c>
    </row>
    <row r="180" spans="1:6" s="1" customFormat="1" x14ac:dyDescent="0.25">
      <c r="A180" s="184" t="s">
        <v>41</v>
      </c>
      <c r="B180" s="185" t="s">
        <v>112</v>
      </c>
      <c r="C180" s="185" t="s">
        <v>113</v>
      </c>
      <c r="D180" s="28">
        <v>0</v>
      </c>
      <c r="E180" s="28">
        <f>21792+683.21+21792+683.21</f>
        <v>44950.42</v>
      </c>
      <c r="F180" s="30">
        <f t="shared" ref="F180" si="29">SUM(D180:E180)</f>
        <v>44950.42</v>
      </c>
    </row>
    <row r="181" spans="1:6" x14ac:dyDescent="0.25">
      <c r="A181" s="253" t="s">
        <v>22</v>
      </c>
      <c r="B181" s="253"/>
      <c r="C181" s="253"/>
      <c r="D181" s="106">
        <f>SUM(D172:D176)</f>
        <v>0</v>
      </c>
      <c r="E181" s="106">
        <f>SUM(E172:E180)</f>
        <v>783505.19000000006</v>
      </c>
      <c r="F181" s="106">
        <f>SUM(F172:F180)</f>
        <v>783505.19000000006</v>
      </c>
    </row>
    <row r="182" spans="1:6" x14ac:dyDescent="0.25">
      <c r="A182" s="15">
        <v>4</v>
      </c>
      <c r="B182" s="254" t="s">
        <v>192</v>
      </c>
      <c r="C182" s="254"/>
      <c r="D182" s="254"/>
      <c r="E182" s="254"/>
      <c r="F182" s="254"/>
    </row>
    <row r="183" spans="1:6" x14ac:dyDescent="0.25">
      <c r="A183" s="253" t="s">
        <v>22</v>
      </c>
      <c r="B183" s="253"/>
      <c r="C183" s="253"/>
      <c r="D183" s="106">
        <v>0</v>
      </c>
      <c r="E183" s="106">
        <v>0</v>
      </c>
      <c r="F183" s="18">
        <v>0</v>
      </c>
    </row>
    <row r="184" spans="1:6" x14ac:dyDescent="0.25">
      <c r="A184" s="15">
        <v>5</v>
      </c>
      <c r="B184" s="267" t="s">
        <v>193</v>
      </c>
      <c r="C184" s="268"/>
      <c r="D184" s="268"/>
      <c r="E184" s="268"/>
      <c r="F184" s="269"/>
    </row>
    <row r="185" spans="1:6" x14ac:dyDescent="0.25">
      <c r="A185" s="184" t="s">
        <v>32</v>
      </c>
      <c r="B185" s="33" t="s">
        <v>3</v>
      </c>
      <c r="C185" s="185" t="s">
        <v>19</v>
      </c>
      <c r="D185" s="28">
        <v>0</v>
      </c>
      <c r="E185" s="28">
        <v>88285.24</v>
      </c>
      <c r="F185" s="28">
        <f>SUM(D185:E185)</f>
        <v>88285.24</v>
      </c>
    </row>
    <row r="186" spans="1:6" x14ac:dyDescent="0.25">
      <c r="A186" s="253" t="s">
        <v>22</v>
      </c>
      <c r="B186" s="253"/>
      <c r="C186" s="253"/>
      <c r="D186" s="106">
        <f>D185</f>
        <v>0</v>
      </c>
      <c r="E186" s="106">
        <f>E185</f>
        <v>88285.24</v>
      </c>
      <c r="F186" s="18">
        <f>SUM(D186:E186)</f>
        <v>88285.24</v>
      </c>
    </row>
    <row r="187" spans="1:6" x14ac:dyDescent="0.25">
      <c r="A187" s="255" t="s">
        <v>1</v>
      </c>
      <c r="B187" s="255"/>
      <c r="C187" s="255"/>
      <c r="D187" s="39">
        <f>D168+D170+D181+D183+D186</f>
        <v>0</v>
      </c>
      <c r="E187" s="39">
        <f>E168+E170++E183+E186+E181</f>
        <v>923816.04</v>
      </c>
      <c r="F187" s="39">
        <f>F168+F170+F181+F183+F186</f>
        <v>923816.04</v>
      </c>
    </row>
    <row r="188" spans="1:6" x14ac:dyDescent="0.25">
      <c r="A188" s="10" t="s">
        <v>33</v>
      </c>
      <c r="B188" s="10"/>
      <c r="C188" s="11"/>
      <c r="D188" s="108"/>
      <c r="E188" s="108"/>
      <c r="F188" s="108"/>
    </row>
    <row r="190" spans="1:6" x14ac:dyDescent="0.25">
      <c r="A190" s="258" t="s">
        <v>335</v>
      </c>
      <c r="B190" s="258"/>
      <c r="C190" s="258"/>
      <c r="D190" s="258"/>
      <c r="E190" s="258"/>
      <c r="F190" s="258"/>
    </row>
    <row r="191" spans="1:6" ht="38.25" x14ac:dyDescent="0.25">
      <c r="A191" s="13" t="s">
        <v>27</v>
      </c>
      <c r="B191" s="13" t="s">
        <v>28</v>
      </c>
      <c r="C191" s="13" t="s">
        <v>29</v>
      </c>
      <c r="D191" s="14" t="s">
        <v>309</v>
      </c>
      <c r="E191" s="14" t="s">
        <v>310</v>
      </c>
      <c r="F191" s="14" t="s">
        <v>311</v>
      </c>
    </row>
    <row r="192" spans="1:6" x14ac:dyDescent="0.25">
      <c r="A192" s="15">
        <v>1</v>
      </c>
      <c r="B192" s="254" t="s">
        <v>190</v>
      </c>
      <c r="C192" s="254"/>
      <c r="D192" s="254"/>
      <c r="E192" s="254"/>
      <c r="F192" s="254"/>
    </row>
    <row r="193" spans="1:9" x14ac:dyDescent="0.25">
      <c r="A193" s="184" t="s">
        <v>48</v>
      </c>
      <c r="B193" s="33" t="s">
        <v>331</v>
      </c>
      <c r="C193" s="185" t="s">
        <v>321</v>
      </c>
      <c r="D193" s="28">
        <v>0</v>
      </c>
      <c r="E193" s="28">
        <f>40782.49+11243.12</f>
        <v>52025.61</v>
      </c>
      <c r="F193" s="30">
        <f t="shared" ref="F193:F194" si="30">SUM(D193:E193)</f>
        <v>52025.61</v>
      </c>
    </row>
    <row r="194" spans="1:9" x14ac:dyDescent="0.25">
      <c r="A194" s="253" t="s">
        <v>22</v>
      </c>
      <c r="B194" s="253"/>
      <c r="C194" s="253"/>
      <c r="D194" s="106">
        <v>0</v>
      </c>
      <c r="E194" s="183">
        <f>SUM(E193:E193)</f>
        <v>52025.61</v>
      </c>
      <c r="F194" s="20">
        <f t="shared" si="30"/>
        <v>52025.61</v>
      </c>
    </row>
    <row r="195" spans="1:9" x14ac:dyDescent="0.25">
      <c r="A195" s="15">
        <v>2</v>
      </c>
      <c r="B195" s="254" t="s">
        <v>191</v>
      </c>
      <c r="C195" s="254"/>
      <c r="D195" s="254"/>
      <c r="E195" s="254"/>
      <c r="F195" s="254"/>
    </row>
    <row r="196" spans="1:9" x14ac:dyDescent="0.25">
      <c r="A196" s="253" t="s">
        <v>22</v>
      </c>
      <c r="B196" s="253"/>
      <c r="C196" s="253"/>
      <c r="D196" s="106">
        <v>0</v>
      </c>
      <c r="E196" s="106">
        <v>0</v>
      </c>
      <c r="F196" s="106">
        <v>0</v>
      </c>
    </row>
    <row r="197" spans="1:9" x14ac:dyDescent="0.25">
      <c r="A197" s="15">
        <v>3</v>
      </c>
      <c r="B197" s="254" t="s">
        <v>187</v>
      </c>
      <c r="C197" s="254"/>
      <c r="D197" s="254"/>
      <c r="E197" s="254"/>
      <c r="F197" s="254"/>
      <c r="I197" s="5"/>
    </row>
    <row r="198" spans="1:9" x14ac:dyDescent="0.25">
      <c r="A198" s="184" t="s">
        <v>4</v>
      </c>
      <c r="B198" s="185" t="s">
        <v>74</v>
      </c>
      <c r="C198" s="185" t="s">
        <v>74</v>
      </c>
      <c r="D198" s="28">
        <v>0</v>
      </c>
      <c r="E198" s="28">
        <v>291089.05</v>
      </c>
      <c r="F198" s="30">
        <f t="shared" ref="F198" si="31">SUM(D198:E198)</f>
        <v>291089.05</v>
      </c>
      <c r="I198" s="5"/>
    </row>
    <row r="199" spans="1:9" x14ac:dyDescent="0.25">
      <c r="A199" s="184" t="s">
        <v>5</v>
      </c>
      <c r="B199" s="185" t="s">
        <v>10</v>
      </c>
      <c r="C199" s="185" t="s">
        <v>11</v>
      </c>
      <c r="D199" s="28">
        <v>0</v>
      </c>
      <c r="E199" s="28">
        <v>45479.12</v>
      </c>
      <c r="F199" s="30">
        <f t="shared" ref="F199:F201" si="32">SUM(D199:E199)</f>
        <v>45479.12</v>
      </c>
      <c r="I199" s="193"/>
    </row>
    <row r="200" spans="1:9" x14ac:dyDescent="0.25">
      <c r="A200" s="184" t="s">
        <v>6</v>
      </c>
      <c r="B200" s="33" t="s">
        <v>275</v>
      </c>
      <c r="C200" s="185" t="s">
        <v>317</v>
      </c>
      <c r="D200" s="28">
        <v>0</v>
      </c>
      <c r="E200" s="28">
        <v>47061</v>
      </c>
      <c r="F200" s="30">
        <f t="shared" si="32"/>
        <v>47061</v>
      </c>
    </row>
    <row r="201" spans="1:9" x14ac:dyDescent="0.25">
      <c r="A201" s="184" t="s">
        <v>18</v>
      </c>
      <c r="B201" s="185" t="s">
        <v>256</v>
      </c>
      <c r="C201" s="185" t="s">
        <v>262</v>
      </c>
      <c r="D201" s="28">
        <v>0</v>
      </c>
      <c r="E201" s="28">
        <f>73351.33+2299.69+73351.33+2299.68</f>
        <v>151302.03</v>
      </c>
      <c r="F201" s="30">
        <f t="shared" si="32"/>
        <v>151302.03</v>
      </c>
    </row>
    <row r="202" spans="1:9" x14ac:dyDescent="0.25">
      <c r="A202" s="189" t="s">
        <v>23</v>
      </c>
      <c r="B202" s="187" t="s">
        <v>13</v>
      </c>
      <c r="C202" s="185" t="s">
        <v>324</v>
      </c>
      <c r="D202" s="28">
        <v>0</v>
      </c>
      <c r="E202" s="28">
        <v>673.09</v>
      </c>
      <c r="F202" s="30">
        <f t="shared" ref="F202:F205" si="33">SUM(D202:E202)</f>
        <v>673.09</v>
      </c>
    </row>
    <row r="203" spans="1:9" x14ac:dyDescent="0.25">
      <c r="A203" s="188" t="s">
        <v>24</v>
      </c>
      <c r="B203" s="186" t="s">
        <v>132</v>
      </c>
      <c r="C203" s="185" t="s">
        <v>326</v>
      </c>
      <c r="D203" s="28">
        <v>0</v>
      </c>
      <c r="E203" s="28">
        <v>10075.120000000001</v>
      </c>
      <c r="F203" s="30">
        <f t="shared" si="33"/>
        <v>10075.120000000001</v>
      </c>
    </row>
    <row r="204" spans="1:9" ht="25.5" x14ac:dyDescent="0.25">
      <c r="A204" s="184" t="s">
        <v>25</v>
      </c>
      <c r="B204" s="190" t="s">
        <v>332</v>
      </c>
      <c r="C204" s="185" t="s">
        <v>333</v>
      </c>
      <c r="D204" s="28">
        <v>0</v>
      </c>
      <c r="E204" s="28">
        <f>28659.13+1294.63</f>
        <v>29953.760000000002</v>
      </c>
      <c r="F204" s="30">
        <f t="shared" si="33"/>
        <v>29953.760000000002</v>
      </c>
    </row>
    <row r="205" spans="1:9" x14ac:dyDescent="0.25">
      <c r="A205" s="184" t="s">
        <v>41</v>
      </c>
      <c r="B205" s="185" t="s">
        <v>112</v>
      </c>
      <c r="C205" s="185" t="s">
        <v>113</v>
      </c>
      <c r="D205" s="28">
        <v>0</v>
      </c>
      <c r="E205" s="28">
        <f>21792+683.21</f>
        <v>22475.21</v>
      </c>
      <c r="F205" s="30">
        <f t="shared" si="33"/>
        <v>22475.21</v>
      </c>
    </row>
    <row r="206" spans="1:9" x14ac:dyDescent="0.25">
      <c r="A206" s="253" t="s">
        <v>22</v>
      </c>
      <c r="B206" s="253"/>
      <c r="C206" s="253"/>
      <c r="D206" s="106">
        <f>SUM(D198:D201)</f>
        <v>0</v>
      </c>
      <c r="E206" s="106">
        <f>SUM(E198:E205)</f>
        <v>598108.37999999989</v>
      </c>
      <c r="F206" s="106">
        <f>SUM(F198:F205)</f>
        <v>598108.37999999989</v>
      </c>
    </row>
    <row r="207" spans="1:9" x14ac:dyDescent="0.25">
      <c r="A207" s="15">
        <v>4</v>
      </c>
      <c r="B207" s="254" t="s">
        <v>192</v>
      </c>
      <c r="C207" s="254"/>
      <c r="D207" s="254"/>
      <c r="E207" s="254"/>
      <c r="F207" s="254"/>
    </row>
    <row r="208" spans="1:9" x14ac:dyDescent="0.25">
      <c r="A208" s="253" t="s">
        <v>22</v>
      </c>
      <c r="B208" s="253"/>
      <c r="C208" s="253"/>
      <c r="D208" s="106">
        <v>0</v>
      </c>
      <c r="E208" s="106">
        <v>0</v>
      </c>
      <c r="F208" s="18">
        <v>0</v>
      </c>
    </row>
    <row r="209" spans="1:6" x14ac:dyDescent="0.25">
      <c r="A209" s="15">
        <v>5</v>
      </c>
      <c r="B209" s="267" t="s">
        <v>193</v>
      </c>
      <c r="C209" s="268"/>
      <c r="D209" s="268"/>
      <c r="E209" s="268"/>
      <c r="F209" s="269"/>
    </row>
    <row r="210" spans="1:6" x14ac:dyDescent="0.25">
      <c r="A210" s="184" t="s">
        <v>32</v>
      </c>
      <c r="B210" s="33" t="s">
        <v>3</v>
      </c>
      <c r="C210" s="185" t="s">
        <v>19</v>
      </c>
      <c r="D210" s="28">
        <v>0</v>
      </c>
      <c r="E210" s="28">
        <v>92386.71</v>
      </c>
      <c r="F210" s="28">
        <f>SUM(D210:E210)</f>
        <v>92386.71</v>
      </c>
    </row>
    <row r="211" spans="1:6" x14ac:dyDescent="0.25">
      <c r="A211" s="253" t="s">
        <v>22</v>
      </c>
      <c r="B211" s="253"/>
      <c r="C211" s="253"/>
      <c r="D211" s="106">
        <f>D210</f>
        <v>0</v>
      </c>
      <c r="E211" s="106">
        <f>E210</f>
        <v>92386.71</v>
      </c>
      <c r="F211" s="18">
        <f>SUM(D211:E211)</f>
        <v>92386.71</v>
      </c>
    </row>
    <row r="212" spans="1:6" x14ac:dyDescent="0.25">
      <c r="A212" s="255" t="s">
        <v>1</v>
      </c>
      <c r="B212" s="255"/>
      <c r="C212" s="255"/>
      <c r="D212" s="39">
        <f>D194+D196+D206+D208+D211</f>
        <v>0</v>
      </c>
      <c r="E212" s="39">
        <f>E194+E196++E208+E211+E206</f>
        <v>742520.7</v>
      </c>
      <c r="F212" s="39">
        <f>F194+F196+F206+F208+F211</f>
        <v>742520.69999999984</v>
      </c>
    </row>
    <row r="213" spans="1:6" x14ac:dyDescent="0.25">
      <c r="A213" s="10" t="s">
        <v>33</v>
      </c>
      <c r="B213" s="10"/>
      <c r="C213" s="11"/>
      <c r="D213" s="108"/>
      <c r="E213" s="108"/>
      <c r="F213" s="108"/>
    </row>
    <row r="215" spans="1:6" x14ac:dyDescent="0.25">
      <c r="A215" s="258" t="s">
        <v>336</v>
      </c>
      <c r="B215" s="258"/>
      <c r="C215" s="258"/>
      <c r="D215" s="258"/>
      <c r="E215" s="258"/>
      <c r="F215" s="258"/>
    </row>
    <row r="216" spans="1:6" ht="38.25" x14ac:dyDescent="0.25">
      <c r="A216" s="13" t="s">
        <v>27</v>
      </c>
      <c r="B216" s="13" t="s">
        <v>28</v>
      </c>
      <c r="C216" s="13" t="s">
        <v>29</v>
      </c>
      <c r="D216" s="14" t="s">
        <v>309</v>
      </c>
      <c r="E216" s="14" t="s">
        <v>310</v>
      </c>
      <c r="F216" s="14" t="s">
        <v>311</v>
      </c>
    </row>
    <row r="217" spans="1:6" x14ac:dyDescent="0.25">
      <c r="A217" s="15">
        <v>1</v>
      </c>
      <c r="B217" s="254" t="s">
        <v>190</v>
      </c>
      <c r="C217" s="254"/>
      <c r="D217" s="254"/>
      <c r="E217" s="254"/>
      <c r="F217" s="254"/>
    </row>
    <row r="218" spans="1:6" x14ac:dyDescent="0.25">
      <c r="A218" s="191" t="s">
        <v>48</v>
      </c>
      <c r="B218" s="33" t="s">
        <v>243</v>
      </c>
      <c r="C218" s="192" t="s">
        <v>330</v>
      </c>
      <c r="D218" s="28">
        <v>0</v>
      </c>
      <c r="E218" s="28">
        <v>5000</v>
      </c>
      <c r="F218" s="30">
        <f t="shared" ref="F218:F220" si="34">SUM(D218:E218)</f>
        <v>5000</v>
      </c>
    </row>
    <row r="219" spans="1:6" s="1" customFormat="1" x14ac:dyDescent="0.25">
      <c r="A219" s="191" t="s">
        <v>70</v>
      </c>
      <c r="B219" s="33" t="s">
        <v>331</v>
      </c>
      <c r="C219" s="192" t="s">
        <v>321</v>
      </c>
      <c r="D219" s="28">
        <v>0</v>
      </c>
      <c r="E219" s="28">
        <v>52025.61</v>
      </c>
      <c r="F219" s="30">
        <f t="shared" ref="F219" si="35">SUM(D219:E219)</f>
        <v>52025.61</v>
      </c>
    </row>
    <row r="220" spans="1:6" x14ac:dyDescent="0.25">
      <c r="A220" s="253" t="s">
        <v>22</v>
      </c>
      <c r="B220" s="253"/>
      <c r="C220" s="253"/>
      <c r="D220" s="106">
        <f>SUM(D218:D219)</f>
        <v>0</v>
      </c>
      <c r="E220" s="183">
        <f>SUM(E218:E219)</f>
        <v>57025.61</v>
      </c>
      <c r="F220" s="20">
        <f t="shared" si="34"/>
        <v>57025.61</v>
      </c>
    </row>
    <row r="221" spans="1:6" x14ac:dyDescent="0.25">
      <c r="A221" s="15">
        <v>2</v>
      </c>
      <c r="B221" s="254" t="s">
        <v>191</v>
      </c>
      <c r="C221" s="254"/>
      <c r="D221" s="254"/>
      <c r="E221" s="254"/>
      <c r="F221" s="254"/>
    </row>
    <row r="222" spans="1:6" x14ac:dyDescent="0.25">
      <c r="A222" s="253" t="s">
        <v>22</v>
      </c>
      <c r="B222" s="253"/>
      <c r="C222" s="253"/>
      <c r="D222" s="106">
        <v>0</v>
      </c>
      <c r="E222" s="106">
        <v>0</v>
      </c>
      <c r="F222" s="106">
        <v>0</v>
      </c>
    </row>
    <row r="223" spans="1:6" x14ac:dyDescent="0.25">
      <c r="A223" s="15">
        <v>3</v>
      </c>
      <c r="B223" s="254" t="s">
        <v>187</v>
      </c>
      <c r="C223" s="254"/>
      <c r="D223" s="254"/>
      <c r="E223" s="254"/>
      <c r="F223" s="254"/>
    </row>
    <row r="224" spans="1:6" x14ac:dyDescent="0.25">
      <c r="A224" s="191" t="s">
        <v>4</v>
      </c>
      <c r="B224" s="192" t="s">
        <v>74</v>
      </c>
      <c r="C224" s="192" t="s">
        <v>74</v>
      </c>
      <c r="D224" s="28">
        <v>0</v>
      </c>
      <c r="E224" s="28">
        <f>888645.99-245245.38</f>
        <v>643400.61</v>
      </c>
      <c r="F224" s="30">
        <f t="shared" ref="F224:F227" si="36">SUM(D224:E224)</f>
        <v>643400.61</v>
      </c>
    </row>
    <row r="225" spans="1:6" x14ac:dyDescent="0.25">
      <c r="A225" s="191" t="s">
        <v>5</v>
      </c>
      <c r="B225" s="192" t="s">
        <v>10</v>
      </c>
      <c r="C225" s="192" t="s">
        <v>11</v>
      </c>
      <c r="D225" s="28">
        <v>0</v>
      </c>
      <c r="E225" s="28">
        <f>45690.26</f>
        <v>45690.26</v>
      </c>
      <c r="F225" s="30">
        <f t="shared" si="36"/>
        <v>45690.26</v>
      </c>
    </row>
    <row r="226" spans="1:6" x14ac:dyDescent="0.25">
      <c r="A226" s="191" t="s">
        <v>6</v>
      </c>
      <c r="B226" s="33" t="s">
        <v>275</v>
      </c>
      <c r="C226" s="192" t="s">
        <v>317</v>
      </c>
      <c r="D226" s="28">
        <v>0</v>
      </c>
      <c r="E226" s="28">
        <f>46314</f>
        <v>46314</v>
      </c>
      <c r="F226" s="30">
        <f t="shared" si="36"/>
        <v>46314</v>
      </c>
    </row>
    <row r="227" spans="1:6" x14ac:dyDescent="0.25">
      <c r="A227" s="191" t="s">
        <v>18</v>
      </c>
      <c r="B227" s="192" t="s">
        <v>256</v>
      </c>
      <c r="C227" s="192" t="s">
        <v>262</v>
      </c>
      <c r="D227" s="28">
        <v>0</v>
      </c>
      <c r="E227" s="28">
        <f>75651.01+75651.02</f>
        <v>151302.03</v>
      </c>
      <c r="F227" s="30">
        <f t="shared" si="36"/>
        <v>151302.03</v>
      </c>
    </row>
    <row r="228" spans="1:6" x14ac:dyDescent="0.25">
      <c r="A228" s="274" t="s">
        <v>23</v>
      </c>
      <c r="B228" s="272" t="s">
        <v>13</v>
      </c>
      <c r="C228" s="192" t="s">
        <v>324</v>
      </c>
      <c r="D228" s="28">
        <v>0</v>
      </c>
      <c r="E228" s="28">
        <f>565.48</f>
        <v>565.48</v>
      </c>
      <c r="F228" s="30">
        <f t="shared" ref="F228:F231" si="37">SUM(D228:E228)</f>
        <v>565.48</v>
      </c>
    </row>
    <row r="229" spans="1:6" s="1" customFormat="1" x14ac:dyDescent="0.25">
      <c r="A229" s="275"/>
      <c r="B229" s="273"/>
      <c r="C229" s="192" t="s">
        <v>318</v>
      </c>
      <c r="D229" s="28"/>
      <c r="E229" s="28">
        <f>714.18+7.44+645.27+6.72</f>
        <v>1373.61</v>
      </c>
      <c r="F229" s="30">
        <f t="shared" si="37"/>
        <v>1373.61</v>
      </c>
    </row>
    <row r="230" spans="1:6" ht="25.5" x14ac:dyDescent="0.25">
      <c r="A230" s="191" t="s">
        <v>24</v>
      </c>
      <c r="B230" s="190" t="s">
        <v>332</v>
      </c>
      <c r="C230" s="192" t="s">
        <v>333</v>
      </c>
      <c r="D230" s="28">
        <v>0</v>
      </c>
      <c r="E230" s="28">
        <f>28659.13+1294.63</f>
        <v>29953.760000000002</v>
      </c>
      <c r="F230" s="30">
        <f t="shared" si="37"/>
        <v>29953.760000000002</v>
      </c>
    </row>
    <row r="231" spans="1:6" x14ac:dyDescent="0.25">
      <c r="A231" s="191" t="s">
        <v>25</v>
      </c>
      <c r="B231" s="192" t="s">
        <v>112</v>
      </c>
      <c r="C231" s="192" t="s">
        <v>113</v>
      </c>
      <c r="D231" s="28">
        <v>0</v>
      </c>
      <c r="E231" s="28">
        <f>22475.21</f>
        <v>22475.21</v>
      </c>
      <c r="F231" s="30">
        <f t="shared" si="37"/>
        <v>22475.21</v>
      </c>
    </row>
    <row r="232" spans="1:6" x14ac:dyDescent="0.25">
      <c r="A232" s="253" t="s">
        <v>22</v>
      </c>
      <c r="B232" s="253"/>
      <c r="C232" s="253"/>
      <c r="D232" s="106">
        <f>SUM(D224:D227)</f>
        <v>0</v>
      </c>
      <c r="E232" s="106">
        <f>SUM(E224:E231)</f>
        <v>941074.96</v>
      </c>
      <c r="F232" s="106">
        <f>SUM(F224:F231)</f>
        <v>941074.96</v>
      </c>
    </row>
    <row r="233" spans="1:6" x14ac:dyDescent="0.25">
      <c r="A233" s="15">
        <v>4</v>
      </c>
      <c r="B233" s="254" t="s">
        <v>192</v>
      </c>
      <c r="C233" s="254"/>
      <c r="D233" s="254"/>
      <c r="E233" s="254"/>
      <c r="F233" s="254"/>
    </row>
    <row r="234" spans="1:6" x14ac:dyDescent="0.25">
      <c r="A234" s="253" t="s">
        <v>22</v>
      </c>
      <c r="B234" s="253"/>
      <c r="C234" s="253"/>
      <c r="D234" s="106">
        <v>0</v>
      </c>
      <c r="E234" s="106">
        <v>0</v>
      </c>
      <c r="F234" s="18">
        <v>0</v>
      </c>
    </row>
    <row r="235" spans="1:6" x14ac:dyDescent="0.25">
      <c r="A235" s="15">
        <v>5</v>
      </c>
      <c r="B235" s="267" t="s">
        <v>193</v>
      </c>
      <c r="C235" s="268"/>
      <c r="D235" s="268"/>
      <c r="E235" s="268"/>
      <c r="F235" s="269"/>
    </row>
    <row r="236" spans="1:6" x14ac:dyDescent="0.25">
      <c r="A236" s="191" t="s">
        <v>32</v>
      </c>
      <c r="B236" s="33" t="s">
        <v>3</v>
      </c>
      <c r="C236" s="192" t="s">
        <v>19</v>
      </c>
      <c r="D236" s="28">
        <v>0</v>
      </c>
      <c r="E236" s="28">
        <v>0</v>
      </c>
      <c r="F236" s="28">
        <f>SUM(D236:E236)</f>
        <v>0</v>
      </c>
    </row>
    <row r="237" spans="1:6" x14ac:dyDescent="0.25">
      <c r="A237" s="253" t="s">
        <v>22</v>
      </c>
      <c r="B237" s="253"/>
      <c r="C237" s="253"/>
      <c r="D237" s="106">
        <f>D236</f>
        <v>0</v>
      </c>
      <c r="E237" s="106">
        <f>E236</f>
        <v>0</v>
      </c>
      <c r="F237" s="18">
        <f>SUM(D237:E237)</f>
        <v>0</v>
      </c>
    </row>
    <row r="238" spans="1:6" x14ac:dyDescent="0.25">
      <c r="A238" s="255" t="s">
        <v>1</v>
      </c>
      <c r="B238" s="255"/>
      <c r="C238" s="255"/>
      <c r="D238" s="39">
        <f>D220+D222+D232+D234+D237</f>
        <v>0</v>
      </c>
      <c r="E238" s="39">
        <f>E220+E222++E234+E237+E232</f>
        <v>998100.57</v>
      </c>
      <c r="F238" s="39">
        <f>F220+F222+F232+F234+F237</f>
        <v>998100.57</v>
      </c>
    </row>
    <row r="239" spans="1:6" x14ac:dyDescent="0.25">
      <c r="A239" s="10" t="s">
        <v>33</v>
      </c>
      <c r="B239" s="10"/>
      <c r="C239" s="11"/>
      <c r="D239" s="108"/>
      <c r="E239" s="108"/>
      <c r="F239" s="108"/>
    </row>
    <row r="241" spans="1:6" x14ac:dyDescent="0.25">
      <c r="A241" s="258" t="s">
        <v>337</v>
      </c>
      <c r="B241" s="258"/>
      <c r="C241" s="258"/>
      <c r="D241" s="258"/>
      <c r="E241" s="258"/>
      <c r="F241" s="258"/>
    </row>
    <row r="242" spans="1:6" ht="38.25" x14ac:dyDescent="0.25">
      <c r="A242" s="13" t="s">
        <v>27</v>
      </c>
      <c r="B242" s="13" t="s">
        <v>28</v>
      </c>
      <c r="C242" s="13" t="s">
        <v>29</v>
      </c>
      <c r="D242" s="14" t="s">
        <v>309</v>
      </c>
      <c r="E242" s="14" t="s">
        <v>310</v>
      </c>
      <c r="F242" s="14" t="s">
        <v>311</v>
      </c>
    </row>
    <row r="243" spans="1:6" x14ac:dyDescent="0.25">
      <c r="A243" s="15">
        <v>1</v>
      </c>
      <c r="B243" s="254" t="s">
        <v>190</v>
      </c>
      <c r="C243" s="254"/>
      <c r="D243" s="254"/>
      <c r="E243" s="254"/>
      <c r="F243" s="254"/>
    </row>
    <row r="244" spans="1:6" x14ac:dyDescent="0.25">
      <c r="A244" s="194" t="s">
        <v>48</v>
      </c>
      <c r="B244" s="33" t="s">
        <v>243</v>
      </c>
      <c r="C244" s="195" t="s">
        <v>330</v>
      </c>
      <c r="D244" s="28">
        <v>0</v>
      </c>
      <c r="E244" s="28">
        <f>15000+5000</f>
        <v>20000</v>
      </c>
      <c r="F244" s="30">
        <f t="shared" ref="F244:F246" si="38">SUM(D244:E244)</f>
        <v>20000</v>
      </c>
    </row>
    <row r="245" spans="1:6" s="1" customFormat="1" x14ac:dyDescent="0.25">
      <c r="A245" s="194" t="s">
        <v>70</v>
      </c>
      <c r="B245" s="33" t="s">
        <v>340</v>
      </c>
      <c r="C245" s="195" t="s">
        <v>341</v>
      </c>
      <c r="D245" s="28">
        <v>0</v>
      </c>
      <c r="E245" s="28">
        <f>77300</f>
        <v>77300</v>
      </c>
      <c r="F245" s="30">
        <f t="shared" si="38"/>
        <v>77300</v>
      </c>
    </row>
    <row r="246" spans="1:6" s="1" customFormat="1" x14ac:dyDescent="0.25">
      <c r="A246" s="194" t="s">
        <v>71</v>
      </c>
      <c r="B246" s="33" t="s">
        <v>342</v>
      </c>
      <c r="C246" s="195" t="s">
        <v>343</v>
      </c>
      <c r="D246" s="28">
        <v>0</v>
      </c>
      <c r="E246" s="28">
        <f>52025.61</f>
        <v>52025.61</v>
      </c>
      <c r="F246" s="30">
        <f t="shared" si="38"/>
        <v>52025.61</v>
      </c>
    </row>
    <row r="247" spans="1:6" x14ac:dyDescent="0.25">
      <c r="A247" s="253" t="s">
        <v>22</v>
      </c>
      <c r="B247" s="253"/>
      <c r="C247" s="253"/>
      <c r="D247" s="106">
        <f>SUM(D244:D244)</f>
        <v>0</v>
      </c>
      <c r="E247" s="183">
        <f>E244+E245+E246</f>
        <v>149325.60999999999</v>
      </c>
      <c r="F247" s="20">
        <f t="shared" ref="F247" si="39">SUM(D247:E247)</f>
        <v>149325.60999999999</v>
      </c>
    </row>
    <row r="248" spans="1:6" x14ac:dyDescent="0.25">
      <c r="A248" s="15">
        <v>2</v>
      </c>
      <c r="B248" s="254" t="s">
        <v>191</v>
      </c>
      <c r="C248" s="254"/>
      <c r="D248" s="254"/>
      <c r="E248" s="254"/>
      <c r="F248" s="254"/>
    </row>
    <row r="249" spans="1:6" x14ac:dyDescent="0.25">
      <c r="A249" s="253" t="s">
        <v>22</v>
      </c>
      <c r="B249" s="253"/>
      <c r="C249" s="253"/>
      <c r="D249" s="106">
        <v>0</v>
      </c>
      <c r="E249" s="106">
        <v>0</v>
      </c>
      <c r="F249" s="106">
        <v>0</v>
      </c>
    </row>
    <row r="250" spans="1:6" x14ac:dyDescent="0.25">
      <c r="A250" s="15">
        <v>3</v>
      </c>
      <c r="B250" s="254" t="s">
        <v>187</v>
      </c>
      <c r="C250" s="254"/>
      <c r="D250" s="254"/>
      <c r="E250" s="254"/>
      <c r="F250" s="254"/>
    </row>
    <row r="251" spans="1:6" x14ac:dyDescent="0.25">
      <c r="A251" s="194" t="s">
        <v>4</v>
      </c>
      <c r="B251" s="195" t="s">
        <v>74</v>
      </c>
      <c r="C251" s="195" t="s">
        <v>74</v>
      </c>
      <c r="D251" s="28">
        <v>0</v>
      </c>
      <c r="E251" s="28">
        <f>26042.62+25993.47+1308.2+30982.65+2681.14+51198.29+26227.97+5232.8+122037.87+6401.96+13441.19+3790.21+3052.47+12107.5+889.72</f>
        <v>331388.06</v>
      </c>
      <c r="F251" s="30">
        <f t="shared" ref="F251:F253" si="40">SUM(D251:E251)</f>
        <v>331388.06</v>
      </c>
    </row>
    <row r="252" spans="1:6" x14ac:dyDescent="0.25">
      <c r="A252" s="194" t="s">
        <v>5</v>
      </c>
      <c r="B252" s="195" t="s">
        <v>10</v>
      </c>
      <c r="C252" s="195" t="s">
        <v>11</v>
      </c>
      <c r="D252" s="28">
        <v>0</v>
      </c>
      <c r="E252" s="28">
        <f>55048.53+36699.02</f>
        <v>91747.549999999988</v>
      </c>
      <c r="F252" s="30">
        <f t="shared" si="40"/>
        <v>91747.549999999988</v>
      </c>
    </row>
    <row r="253" spans="1:6" x14ac:dyDescent="0.25">
      <c r="A253" s="194" t="s">
        <v>6</v>
      </c>
      <c r="B253" s="33" t="s">
        <v>275</v>
      </c>
      <c r="C253" s="195" t="s">
        <v>317</v>
      </c>
      <c r="D253" s="28">
        <v>0</v>
      </c>
      <c r="E253" s="28">
        <f>75447+121014</f>
        <v>196461</v>
      </c>
      <c r="F253" s="30">
        <f t="shared" si="40"/>
        <v>196461</v>
      </c>
    </row>
    <row r="254" spans="1:6" s="1" customFormat="1" ht="25.5" x14ac:dyDescent="0.25">
      <c r="A254" s="194" t="s">
        <v>18</v>
      </c>
      <c r="B254" s="190" t="s">
        <v>332</v>
      </c>
      <c r="C254" s="195" t="s">
        <v>333</v>
      </c>
      <c r="D254" s="28">
        <v>0</v>
      </c>
      <c r="E254" s="28">
        <f>29953.76</f>
        <v>29953.759999999998</v>
      </c>
      <c r="F254" s="30">
        <f t="shared" ref="F254" si="41">SUM(D254:E254)</f>
        <v>29953.759999999998</v>
      </c>
    </row>
    <row r="255" spans="1:6" x14ac:dyDescent="0.25">
      <c r="A255" s="274" t="s">
        <v>23</v>
      </c>
      <c r="B255" s="272" t="s">
        <v>13</v>
      </c>
      <c r="C255" s="195" t="s">
        <v>324</v>
      </c>
      <c r="D255" s="28">
        <v>0</v>
      </c>
      <c r="E255" s="28">
        <f>664.65</f>
        <v>664.65</v>
      </c>
      <c r="F255" s="30">
        <f t="shared" ref="F255:F258" si="42">SUM(D255:E255)</f>
        <v>664.65</v>
      </c>
    </row>
    <row r="256" spans="1:6" x14ac:dyDescent="0.25">
      <c r="A256" s="275"/>
      <c r="B256" s="273"/>
      <c r="C256" s="195" t="s">
        <v>318</v>
      </c>
      <c r="D256" s="28"/>
      <c r="E256" s="28">
        <f>630.65+6.57</f>
        <v>637.22</v>
      </c>
      <c r="F256" s="30">
        <f t="shared" si="42"/>
        <v>637.22</v>
      </c>
    </row>
    <row r="257" spans="1:6" x14ac:dyDescent="0.25">
      <c r="A257" s="194" t="s">
        <v>24</v>
      </c>
      <c r="B257" s="190" t="s">
        <v>338</v>
      </c>
      <c r="C257" s="195" t="s">
        <v>339</v>
      </c>
      <c r="D257" s="28">
        <v>0</v>
      </c>
      <c r="E257" s="28">
        <f>1560+520</f>
        <v>2080</v>
      </c>
      <c r="F257" s="30">
        <f t="shared" si="42"/>
        <v>2080</v>
      </c>
    </row>
    <row r="258" spans="1:6" s="1" customFormat="1" x14ac:dyDescent="0.25">
      <c r="A258" s="194" t="s">
        <v>25</v>
      </c>
      <c r="B258" s="195" t="s">
        <v>112</v>
      </c>
      <c r="C258" s="195" t="s">
        <v>113</v>
      </c>
      <c r="D258" s="28">
        <v>0</v>
      </c>
      <c r="E258" s="28">
        <f>22475.21</f>
        <v>22475.21</v>
      </c>
      <c r="F258" s="30">
        <f t="shared" si="42"/>
        <v>22475.21</v>
      </c>
    </row>
    <row r="259" spans="1:6" s="1" customFormat="1" x14ac:dyDescent="0.25">
      <c r="A259" s="274" t="s">
        <v>41</v>
      </c>
      <c r="B259" s="272" t="s">
        <v>132</v>
      </c>
      <c r="C259" s="195" t="s">
        <v>326</v>
      </c>
      <c r="D259" s="28">
        <v>0</v>
      </c>
      <c r="E259" s="28">
        <f>4317.92+14393.04+14393.04</f>
        <v>33104</v>
      </c>
      <c r="F259" s="30">
        <f t="shared" ref="F259:F260" si="43">SUM(D259:E259)</f>
        <v>33104</v>
      </c>
    </row>
    <row r="260" spans="1:6" s="1" customFormat="1" x14ac:dyDescent="0.25">
      <c r="A260" s="275"/>
      <c r="B260" s="273"/>
      <c r="C260" s="195" t="s">
        <v>344</v>
      </c>
      <c r="D260" s="28">
        <v>0</v>
      </c>
      <c r="E260" s="28">
        <f>14550+3880</f>
        <v>18430</v>
      </c>
      <c r="F260" s="30">
        <f t="shared" si="43"/>
        <v>18430</v>
      </c>
    </row>
    <row r="261" spans="1:6" x14ac:dyDescent="0.25">
      <c r="A261" s="253" t="s">
        <v>22</v>
      </c>
      <c r="B261" s="253"/>
      <c r="C261" s="253"/>
      <c r="D261" s="106">
        <f>SUM(D251:D260)</f>
        <v>0</v>
      </c>
      <c r="E261" s="106">
        <f>SUM(E251:E260)</f>
        <v>726941.45</v>
      </c>
      <c r="F261" s="106">
        <f>SUM(F251:F260)</f>
        <v>726941.45</v>
      </c>
    </row>
    <row r="262" spans="1:6" x14ac:dyDescent="0.25">
      <c r="A262" s="15">
        <v>4</v>
      </c>
      <c r="B262" s="254" t="s">
        <v>192</v>
      </c>
      <c r="C262" s="254"/>
      <c r="D262" s="254"/>
      <c r="E262" s="254"/>
      <c r="F262" s="254"/>
    </row>
    <row r="263" spans="1:6" x14ac:dyDescent="0.25">
      <c r="A263" s="253" t="s">
        <v>22</v>
      </c>
      <c r="B263" s="253"/>
      <c r="C263" s="253"/>
      <c r="D263" s="106">
        <v>0</v>
      </c>
      <c r="E263" s="106">
        <v>0</v>
      </c>
      <c r="F263" s="18">
        <v>0</v>
      </c>
    </row>
    <row r="264" spans="1:6" x14ac:dyDescent="0.25">
      <c r="A264" s="15">
        <v>5</v>
      </c>
      <c r="B264" s="267" t="s">
        <v>193</v>
      </c>
      <c r="C264" s="268"/>
      <c r="D264" s="268"/>
      <c r="E264" s="268"/>
      <c r="F264" s="269"/>
    </row>
    <row r="265" spans="1:6" x14ac:dyDescent="0.25">
      <c r="A265" s="194" t="s">
        <v>32</v>
      </c>
      <c r="B265" s="33" t="s">
        <v>3</v>
      </c>
      <c r="C265" s="195" t="s">
        <v>19</v>
      </c>
      <c r="D265" s="28">
        <v>0</v>
      </c>
      <c r="E265" s="28">
        <f>15189.4+73679.52+77404.12</f>
        <v>166273.03999999998</v>
      </c>
      <c r="F265" s="28">
        <f>SUM(D265:E265)</f>
        <v>166273.03999999998</v>
      </c>
    </row>
    <row r="266" spans="1:6" x14ac:dyDescent="0.25">
      <c r="A266" s="253" t="s">
        <v>22</v>
      </c>
      <c r="B266" s="253"/>
      <c r="C266" s="253"/>
      <c r="D266" s="106">
        <f>D265</f>
        <v>0</v>
      </c>
      <c r="E266" s="106">
        <f>E265</f>
        <v>166273.03999999998</v>
      </c>
      <c r="F266" s="18">
        <f>SUM(D266:E266)</f>
        <v>166273.03999999998</v>
      </c>
    </row>
    <row r="267" spans="1:6" x14ac:dyDescent="0.25">
      <c r="A267" s="255" t="s">
        <v>1</v>
      </c>
      <c r="B267" s="255"/>
      <c r="C267" s="255"/>
      <c r="D267" s="39">
        <f>D247+D249+D261+D263+D266</f>
        <v>0</v>
      </c>
      <c r="E267" s="39">
        <f>E247+E249++E263+E266+E261</f>
        <v>1042540.0999999999</v>
      </c>
      <c r="F267" s="39">
        <f>F247+F249+F261+F263+F266</f>
        <v>1042540.0999999999</v>
      </c>
    </row>
    <row r="268" spans="1:6" x14ac:dyDescent="0.25">
      <c r="A268" s="10" t="s">
        <v>33</v>
      </c>
      <c r="B268" s="10"/>
      <c r="C268" s="11"/>
      <c r="D268" s="108"/>
      <c r="E268" s="108"/>
      <c r="F268" s="108"/>
    </row>
    <row r="270" spans="1:6" x14ac:dyDescent="0.25">
      <c r="A270" s="258" t="s">
        <v>345</v>
      </c>
      <c r="B270" s="258"/>
      <c r="C270" s="258"/>
      <c r="D270" s="258"/>
      <c r="E270" s="258"/>
      <c r="F270" s="258"/>
    </row>
    <row r="271" spans="1:6" ht="38.25" x14ac:dyDescent="0.25">
      <c r="A271" s="13" t="s">
        <v>27</v>
      </c>
      <c r="B271" s="13" t="s">
        <v>28</v>
      </c>
      <c r="C271" s="13" t="s">
        <v>29</v>
      </c>
      <c r="D271" s="14" t="s">
        <v>309</v>
      </c>
      <c r="E271" s="14" t="s">
        <v>310</v>
      </c>
      <c r="F271" s="14" t="s">
        <v>311</v>
      </c>
    </row>
    <row r="272" spans="1:6" x14ac:dyDescent="0.25">
      <c r="A272" s="15">
        <v>1</v>
      </c>
      <c r="B272" s="254" t="s">
        <v>190</v>
      </c>
      <c r="C272" s="254"/>
      <c r="D272" s="254"/>
      <c r="E272" s="254"/>
      <c r="F272" s="254"/>
    </row>
    <row r="273" spans="1:6" x14ac:dyDescent="0.25">
      <c r="A273" s="194" t="s">
        <v>48</v>
      </c>
      <c r="B273" s="33" t="s">
        <v>243</v>
      </c>
      <c r="C273" s="195" t="s">
        <v>330</v>
      </c>
      <c r="D273" s="28">
        <v>0</v>
      </c>
      <c r="E273" s="28">
        <v>0</v>
      </c>
      <c r="F273" s="30">
        <f t="shared" ref="F273:F276" si="44">SUM(D273:E273)</f>
        <v>0</v>
      </c>
    </row>
    <row r="274" spans="1:6" x14ac:dyDescent="0.25">
      <c r="A274" s="194" t="s">
        <v>70</v>
      </c>
      <c r="B274" s="33" t="s">
        <v>340</v>
      </c>
      <c r="C274" s="195" t="s">
        <v>351</v>
      </c>
      <c r="D274" s="28">
        <v>0</v>
      </c>
      <c r="E274" s="28">
        <f>34124+77300</f>
        <v>111424</v>
      </c>
      <c r="F274" s="30">
        <f t="shared" si="44"/>
        <v>111424</v>
      </c>
    </row>
    <row r="275" spans="1:6" x14ac:dyDescent="0.25">
      <c r="A275" s="194" t="s">
        <v>71</v>
      </c>
      <c r="B275" s="33" t="s">
        <v>342</v>
      </c>
      <c r="C275" s="195" t="s">
        <v>350</v>
      </c>
      <c r="D275" s="28">
        <v>0</v>
      </c>
      <c r="E275" s="28">
        <v>0</v>
      </c>
      <c r="F275" s="30">
        <f t="shared" si="44"/>
        <v>0</v>
      </c>
    </row>
    <row r="276" spans="1:6" x14ac:dyDescent="0.25">
      <c r="A276" s="253" t="s">
        <v>22</v>
      </c>
      <c r="B276" s="253"/>
      <c r="C276" s="253"/>
      <c r="D276" s="106">
        <f>SUM(D273:D273)</f>
        <v>0</v>
      </c>
      <c r="E276" s="183">
        <f>E273+E274+E275</f>
        <v>111424</v>
      </c>
      <c r="F276" s="20">
        <f t="shared" si="44"/>
        <v>111424</v>
      </c>
    </row>
    <row r="277" spans="1:6" x14ac:dyDescent="0.25">
      <c r="A277" s="15">
        <v>2</v>
      </c>
      <c r="B277" s="254" t="s">
        <v>191</v>
      </c>
      <c r="C277" s="254"/>
      <c r="D277" s="254"/>
      <c r="E277" s="254"/>
      <c r="F277" s="254"/>
    </row>
    <row r="278" spans="1:6" s="1" customFormat="1" x14ac:dyDescent="0.25">
      <c r="A278" s="194" t="s">
        <v>218</v>
      </c>
      <c r="B278" s="52" t="s">
        <v>348</v>
      </c>
      <c r="C278" s="195" t="s">
        <v>347</v>
      </c>
      <c r="D278" s="28">
        <v>0</v>
      </c>
      <c r="E278" s="28">
        <v>83220</v>
      </c>
      <c r="F278" s="30">
        <f>SUM(D278:E278)</f>
        <v>83220</v>
      </c>
    </row>
    <row r="279" spans="1:6" s="1" customFormat="1" x14ac:dyDescent="0.25">
      <c r="A279" s="194" t="s">
        <v>221</v>
      </c>
      <c r="B279" s="52" t="s">
        <v>352</v>
      </c>
      <c r="C279" s="195" t="s">
        <v>349</v>
      </c>
      <c r="D279" s="28">
        <v>0</v>
      </c>
      <c r="E279" s="28">
        <f>175698+170250</f>
        <v>345948</v>
      </c>
      <c r="F279" s="30">
        <f>SUM(D279:E279)</f>
        <v>345948</v>
      </c>
    </row>
    <row r="280" spans="1:6" x14ac:dyDescent="0.25">
      <c r="A280" s="253" t="s">
        <v>22</v>
      </c>
      <c r="B280" s="253"/>
      <c r="C280" s="253"/>
      <c r="D280" s="106">
        <v>0</v>
      </c>
      <c r="E280" s="106">
        <f>SUM(E278:E279)</f>
        <v>429168</v>
      </c>
      <c r="F280" s="106">
        <f>SUM(F278:F279)</f>
        <v>429168</v>
      </c>
    </row>
    <row r="281" spans="1:6" x14ac:dyDescent="0.25">
      <c r="A281" s="15">
        <v>3</v>
      </c>
      <c r="B281" s="254" t="s">
        <v>187</v>
      </c>
      <c r="C281" s="254"/>
      <c r="D281" s="254"/>
      <c r="E281" s="254"/>
      <c r="F281" s="254"/>
    </row>
    <row r="282" spans="1:6" x14ac:dyDescent="0.25">
      <c r="A282" s="194" t="s">
        <v>4</v>
      </c>
      <c r="B282" s="195" t="s">
        <v>74</v>
      </c>
      <c r="C282" s="195" t="s">
        <v>74</v>
      </c>
      <c r="D282" s="28">
        <v>0</v>
      </c>
      <c r="E282" s="28">
        <f>25636.23+2646.32+1308.2+30623.95+2.09+4337.71+5232.8+122516.79+25.13+3587.89+6401.96+12799+820.09+51404.32+3052.47+12122.43+6536.92</f>
        <v>289054.29999999993</v>
      </c>
      <c r="F282" s="30">
        <f t="shared" ref="F282:F284" si="45">SUM(D282:E282)</f>
        <v>289054.29999999993</v>
      </c>
    </row>
    <row r="283" spans="1:6" x14ac:dyDescent="0.25">
      <c r="A283" s="194" t="s">
        <v>5</v>
      </c>
      <c r="B283" s="195" t="s">
        <v>10</v>
      </c>
      <c r="C283" s="195" t="s">
        <v>11</v>
      </c>
      <c r="D283" s="28">
        <v>0</v>
      </c>
      <c r="E283" s="28">
        <v>0</v>
      </c>
      <c r="F283" s="30">
        <f t="shared" si="45"/>
        <v>0</v>
      </c>
    </row>
    <row r="284" spans="1:6" x14ac:dyDescent="0.25">
      <c r="A284" s="194" t="s">
        <v>6</v>
      </c>
      <c r="B284" s="33" t="s">
        <v>275</v>
      </c>
      <c r="C284" s="195" t="s">
        <v>317</v>
      </c>
      <c r="D284" s="28">
        <v>0</v>
      </c>
      <c r="E284" s="28">
        <f>124002</f>
        <v>124002</v>
      </c>
      <c r="F284" s="30">
        <f t="shared" si="45"/>
        <v>124002</v>
      </c>
    </row>
    <row r="285" spans="1:6" ht="25.5" x14ac:dyDescent="0.25">
      <c r="A285" s="194" t="s">
        <v>18</v>
      </c>
      <c r="B285" s="190" t="s">
        <v>332</v>
      </c>
      <c r="C285" s="195" t="s">
        <v>333</v>
      </c>
      <c r="D285" s="28">
        <v>0</v>
      </c>
      <c r="E285" s="28">
        <f>29953.76</f>
        <v>29953.759999999998</v>
      </c>
      <c r="F285" s="30">
        <f t="shared" ref="F285:F289" si="46">SUM(D285:E285)</f>
        <v>29953.759999999998</v>
      </c>
    </row>
    <row r="286" spans="1:6" x14ac:dyDescent="0.25">
      <c r="A286" s="274" t="s">
        <v>23</v>
      </c>
      <c r="B286" s="272" t="s">
        <v>13</v>
      </c>
      <c r="C286" s="195" t="s">
        <v>324</v>
      </c>
      <c r="D286" s="28">
        <v>0</v>
      </c>
      <c r="E286" s="28">
        <f>431+372.97+4.16</f>
        <v>808.13</v>
      </c>
      <c r="F286" s="30">
        <f t="shared" si="46"/>
        <v>808.13</v>
      </c>
    </row>
    <row r="287" spans="1:6" x14ac:dyDescent="0.25">
      <c r="A287" s="275"/>
      <c r="B287" s="273"/>
      <c r="C287" s="195" t="s">
        <v>318</v>
      </c>
      <c r="D287" s="28"/>
      <c r="E287" s="28">
        <f>816.5+8.51</f>
        <v>825.01</v>
      </c>
      <c r="F287" s="30">
        <f t="shared" si="46"/>
        <v>825.01</v>
      </c>
    </row>
    <row r="288" spans="1:6" x14ac:dyDescent="0.25">
      <c r="A288" s="194" t="s">
        <v>24</v>
      </c>
      <c r="B288" s="190" t="s">
        <v>338</v>
      </c>
      <c r="C288" s="195" t="s">
        <v>346</v>
      </c>
      <c r="D288" s="28">
        <v>0</v>
      </c>
      <c r="E288" s="28">
        <f>12050+25625</f>
        <v>37675</v>
      </c>
      <c r="F288" s="30">
        <f t="shared" si="46"/>
        <v>37675</v>
      </c>
    </row>
    <row r="289" spans="1:6" x14ac:dyDescent="0.25">
      <c r="A289" s="194" t="s">
        <v>25</v>
      </c>
      <c r="B289" s="195" t="s">
        <v>112</v>
      </c>
      <c r="C289" s="195" t="s">
        <v>113</v>
      </c>
      <c r="D289" s="28">
        <v>0</v>
      </c>
      <c r="E289" s="28">
        <f>20677+1798.21+5244.22+17230.99+3176.5</f>
        <v>48126.92</v>
      </c>
      <c r="F289" s="30">
        <f t="shared" si="46"/>
        <v>48126.92</v>
      </c>
    </row>
    <row r="290" spans="1:6" x14ac:dyDescent="0.25">
      <c r="A290" s="274" t="s">
        <v>41</v>
      </c>
      <c r="B290" s="272" t="s">
        <v>132</v>
      </c>
      <c r="C290" s="195" t="s">
        <v>326</v>
      </c>
      <c r="D290" s="28">
        <v>0</v>
      </c>
      <c r="E290" s="28">
        <f>14393.04</f>
        <v>14393.04</v>
      </c>
      <c r="F290" s="30">
        <f t="shared" ref="F290:F291" si="47">SUM(D290:E290)</f>
        <v>14393.04</v>
      </c>
    </row>
    <row r="291" spans="1:6" x14ac:dyDescent="0.25">
      <c r="A291" s="275"/>
      <c r="B291" s="273"/>
      <c r="C291" s="195" t="s">
        <v>344</v>
      </c>
      <c r="D291" s="28">
        <v>0</v>
      </c>
      <c r="E291" s="28">
        <f>14550</f>
        <v>14550</v>
      </c>
      <c r="F291" s="30">
        <f t="shared" si="47"/>
        <v>14550</v>
      </c>
    </row>
    <row r="292" spans="1:6" s="1" customFormat="1" x14ac:dyDescent="0.25">
      <c r="A292" s="194" t="s">
        <v>167</v>
      </c>
      <c r="B292" s="195" t="s">
        <v>256</v>
      </c>
      <c r="C292" s="195" t="s">
        <v>262</v>
      </c>
      <c r="D292" s="28">
        <v>0</v>
      </c>
      <c r="E292" s="28">
        <f>70607.61+5043.4+70607.62+5043.4+75651.01+8268.26+75651.02+8268.25</f>
        <v>319140.57</v>
      </c>
      <c r="F292" s="30">
        <f t="shared" ref="F292:F293" si="48">SUM(D292:E292)</f>
        <v>319140.57</v>
      </c>
    </row>
    <row r="293" spans="1:6" s="1" customFormat="1" x14ac:dyDescent="0.25">
      <c r="A293" s="194" t="s">
        <v>353</v>
      </c>
      <c r="B293" s="195" t="s">
        <v>7</v>
      </c>
      <c r="C293" s="195" t="s">
        <v>354</v>
      </c>
      <c r="D293" s="28">
        <v>0</v>
      </c>
      <c r="E293" s="28">
        <f>13569.68+14760+12997</f>
        <v>41326.68</v>
      </c>
      <c r="F293" s="30">
        <f t="shared" si="48"/>
        <v>41326.68</v>
      </c>
    </row>
    <row r="294" spans="1:6" x14ac:dyDescent="0.25">
      <c r="A294" s="253" t="s">
        <v>22</v>
      </c>
      <c r="B294" s="253"/>
      <c r="C294" s="253"/>
      <c r="D294" s="106">
        <f>SUM(D282:D293)</f>
        <v>0</v>
      </c>
      <c r="E294" s="106">
        <f>SUM(E282:E293)</f>
        <v>919855.41</v>
      </c>
      <c r="F294" s="106">
        <f>SUM(F282:F293)</f>
        <v>919855.41</v>
      </c>
    </row>
    <row r="295" spans="1:6" x14ac:dyDescent="0.25">
      <c r="A295" s="15">
        <v>4</v>
      </c>
      <c r="B295" s="254" t="s">
        <v>192</v>
      </c>
      <c r="C295" s="254"/>
      <c r="D295" s="254"/>
      <c r="E295" s="254"/>
      <c r="F295" s="254"/>
    </row>
    <row r="296" spans="1:6" x14ac:dyDescent="0.25">
      <c r="A296" s="253" t="s">
        <v>22</v>
      </c>
      <c r="B296" s="253"/>
      <c r="C296" s="253"/>
      <c r="D296" s="106">
        <v>0</v>
      </c>
      <c r="E296" s="106">
        <v>0</v>
      </c>
      <c r="F296" s="18">
        <v>0</v>
      </c>
    </row>
    <row r="297" spans="1:6" x14ac:dyDescent="0.25">
      <c r="A297" s="15">
        <v>5</v>
      </c>
      <c r="B297" s="267" t="s">
        <v>193</v>
      </c>
      <c r="C297" s="268"/>
      <c r="D297" s="268"/>
      <c r="E297" s="268"/>
      <c r="F297" s="269"/>
    </row>
    <row r="298" spans="1:6" x14ac:dyDescent="0.25">
      <c r="A298" s="194" t="s">
        <v>32</v>
      </c>
      <c r="B298" s="33" t="s">
        <v>3</v>
      </c>
      <c r="C298" s="195" t="s">
        <v>19</v>
      </c>
      <c r="D298" s="28">
        <v>0</v>
      </c>
      <c r="E298" s="28">
        <v>82962.070000000007</v>
      </c>
      <c r="F298" s="28">
        <f>SUM(D298:E298)</f>
        <v>82962.070000000007</v>
      </c>
    </row>
    <row r="299" spans="1:6" x14ac:dyDescent="0.25">
      <c r="A299" s="253" t="s">
        <v>22</v>
      </c>
      <c r="B299" s="253"/>
      <c r="C299" s="253"/>
      <c r="D299" s="106">
        <f>D298</f>
        <v>0</v>
      </c>
      <c r="E299" s="106">
        <f>E298</f>
        <v>82962.070000000007</v>
      </c>
      <c r="F299" s="18">
        <f>SUM(D299:E299)</f>
        <v>82962.070000000007</v>
      </c>
    </row>
    <row r="300" spans="1:6" x14ac:dyDescent="0.25">
      <c r="A300" s="255" t="s">
        <v>1</v>
      </c>
      <c r="B300" s="255"/>
      <c r="C300" s="255"/>
      <c r="D300" s="39">
        <f>D276+D280+D294+D296+D299</f>
        <v>0</v>
      </c>
      <c r="E300" s="39">
        <f>E276+E280++E296+E299+E294</f>
        <v>1543409.48</v>
      </c>
      <c r="F300" s="39">
        <f>F276+F280+F294+F296+F299</f>
        <v>1543409.4800000002</v>
      </c>
    </row>
    <row r="301" spans="1:6" x14ac:dyDescent="0.25">
      <c r="A301" s="10" t="s">
        <v>33</v>
      </c>
      <c r="B301" s="10"/>
      <c r="C301" s="11"/>
      <c r="D301" s="108"/>
      <c r="E301" s="108"/>
      <c r="F301" s="108"/>
    </row>
    <row r="302" spans="1:6" s="1" customFormat="1" x14ac:dyDescent="0.25">
      <c r="A302" s="10"/>
      <c r="B302" s="10"/>
      <c r="C302" s="11"/>
      <c r="D302" s="108"/>
      <c r="E302" s="108"/>
      <c r="F302" s="108"/>
    </row>
    <row r="303" spans="1:6" x14ac:dyDescent="0.25">
      <c r="A303" s="258" t="s">
        <v>375</v>
      </c>
      <c r="B303" s="258"/>
      <c r="C303" s="258"/>
      <c r="D303" s="258"/>
      <c r="E303" s="258"/>
      <c r="F303" s="258"/>
    </row>
    <row r="304" spans="1:6" ht="38.25" x14ac:dyDescent="0.25">
      <c r="A304" s="13" t="s">
        <v>27</v>
      </c>
      <c r="B304" s="13" t="s">
        <v>28</v>
      </c>
      <c r="C304" s="13" t="s">
        <v>29</v>
      </c>
      <c r="D304" s="14" t="s">
        <v>309</v>
      </c>
      <c r="E304" s="14" t="s">
        <v>310</v>
      </c>
      <c r="F304" s="14" t="s">
        <v>311</v>
      </c>
    </row>
    <row r="305" spans="1:6" x14ac:dyDescent="0.25">
      <c r="A305" s="15">
        <v>1</v>
      </c>
      <c r="B305" s="254" t="s">
        <v>190</v>
      </c>
      <c r="C305" s="254"/>
      <c r="D305" s="254"/>
      <c r="E305" s="254"/>
      <c r="F305" s="254"/>
    </row>
    <row r="306" spans="1:6" x14ac:dyDescent="0.25">
      <c r="A306" s="272" t="s">
        <v>48</v>
      </c>
      <c r="B306" s="272" t="s">
        <v>243</v>
      </c>
      <c r="C306" s="207" t="s">
        <v>308</v>
      </c>
      <c r="D306" s="28">
        <v>7920</v>
      </c>
      <c r="E306" s="28">
        <v>0</v>
      </c>
      <c r="F306" s="30">
        <f t="shared" ref="F306:F312" si="49">SUM(D306:E306)</f>
        <v>7920</v>
      </c>
    </row>
    <row r="307" spans="1:6" x14ac:dyDescent="0.25">
      <c r="A307" s="276"/>
      <c r="B307" s="276"/>
      <c r="C307" s="207" t="s">
        <v>323</v>
      </c>
      <c r="D307" s="28">
        <v>0</v>
      </c>
      <c r="E307" s="28">
        <v>10512.5</v>
      </c>
      <c r="F307" s="30">
        <f t="shared" si="49"/>
        <v>10512.5</v>
      </c>
    </row>
    <row r="308" spans="1:6" x14ac:dyDescent="0.25">
      <c r="A308" s="273"/>
      <c r="B308" s="273"/>
      <c r="C308" s="207" t="s">
        <v>330</v>
      </c>
      <c r="D308" s="28">
        <v>0</v>
      </c>
      <c r="E308" s="28">
        <f>24535.9+5000+20000</f>
        <v>49535.9</v>
      </c>
      <c r="F308" s="30">
        <f t="shared" si="49"/>
        <v>49535.9</v>
      </c>
    </row>
    <row r="309" spans="1:6" x14ac:dyDescent="0.25">
      <c r="A309" s="206" t="s">
        <v>70</v>
      </c>
      <c r="B309" s="33" t="s">
        <v>340</v>
      </c>
      <c r="C309" s="207" t="s">
        <v>351</v>
      </c>
      <c r="D309" s="28">
        <v>0</v>
      </c>
      <c r="E309" s="28">
        <f>77300+111424</f>
        <v>188724</v>
      </c>
      <c r="F309" s="30">
        <f t="shared" si="49"/>
        <v>188724</v>
      </c>
    </row>
    <row r="310" spans="1:6" x14ac:dyDescent="0.25">
      <c r="A310" s="206" t="s">
        <v>71</v>
      </c>
      <c r="B310" s="33" t="s">
        <v>342</v>
      </c>
      <c r="C310" s="207" t="s">
        <v>321</v>
      </c>
      <c r="D310" s="28">
        <v>0</v>
      </c>
      <c r="E310" s="28">
        <f>147000.68+52025.61+52025.61+52025.61+52025.61+52025.61</f>
        <v>407128.72999999992</v>
      </c>
      <c r="F310" s="30">
        <f t="shared" si="49"/>
        <v>407128.72999999992</v>
      </c>
    </row>
    <row r="311" spans="1:6" x14ac:dyDescent="0.25">
      <c r="A311" s="274" t="s">
        <v>136</v>
      </c>
      <c r="B311" s="277" t="s">
        <v>313</v>
      </c>
      <c r="C311" s="207" t="s">
        <v>314</v>
      </c>
      <c r="D311" s="28">
        <f>169459.5+168168+163908.5</f>
        <v>501536</v>
      </c>
      <c r="E311" s="28">
        <v>0</v>
      </c>
      <c r="F311" s="30">
        <f t="shared" si="49"/>
        <v>501536</v>
      </c>
    </row>
    <row r="312" spans="1:6" x14ac:dyDescent="0.25">
      <c r="A312" s="275"/>
      <c r="B312" s="278"/>
      <c r="C312" s="207" t="s">
        <v>296</v>
      </c>
      <c r="D312" s="28">
        <v>350866</v>
      </c>
      <c r="E312" s="28">
        <v>0</v>
      </c>
      <c r="F312" s="30">
        <f t="shared" si="49"/>
        <v>350866</v>
      </c>
    </row>
    <row r="313" spans="1:6" x14ac:dyDescent="0.25">
      <c r="A313" s="253" t="s">
        <v>22</v>
      </c>
      <c r="B313" s="253"/>
      <c r="C313" s="253"/>
      <c r="D313" s="106">
        <f>SUM(D306:D312)</f>
        <v>860322</v>
      </c>
      <c r="E313" s="106">
        <f>SUM(E306:E312)</f>
        <v>655901.12999999989</v>
      </c>
      <c r="F313" s="20">
        <f>SUM(D313:E313)</f>
        <v>1516223.13</v>
      </c>
    </row>
    <row r="314" spans="1:6" x14ac:dyDescent="0.25">
      <c r="A314" s="15">
        <v>2</v>
      </c>
      <c r="B314" s="254" t="s">
        <v>191</v>
      </c>
      <c r="C314" s="254"/>
      <c r="D314" s="254"/>
      <c r="E314" s="254"/>
      <c r="F314" s="254"/>
    </row>
    <row r="315" spans="1:6" x14ac:dyDescent="0.25">
      <c r="A315" s="206" t="s">
        <v>218</v>
      </c>
      <c r="B315" s="52" t="s">
        <v>348</v>
      </c>
      <c r="C315" s="207" t="s">
        <v>347</v>
      </c>
      <c r="D315" s="28">
        <v>0</v>
      </c>
      <c r="E315" s="28">
        <v>83220</v>
      </c>
      <c r="F315" s="30">
        <f>SUM(D315:E315)</f>
        <v>83220</v>
      </c>
    </row>
    <row r="316" spans="1:6" x14ac:dyDescent="0.25">
      <c r="A316" s="206" t="s">
        <v>221</v>
      </c>
      <c r="B316" s="52" t="s">
        <v>352</v>
      </c>
      <c r="C316" s="207" t="s">
        <v>349</v>
      </c>
      <c r="D316" s="28">
        <v>0</v>
      </c>
      <c r="E316" s="28">
        <f>175698+170250</f>
        <v>345948</v>
      </c>
      <c r="F316" s="30">
        <f t="shared" ref="F316:F317" si="50">SUM(D316:E316)</f>
        <v>345948</v>
      </c>
    </row>
    <row r="317" spans="1:6" x14ac:dyDescent="0.25">
      <c r="A317" s="206" t="s">
        <v>376</v>
      </c>
      <c r="B317" s="52" t="s">
        <v>298</v>
      </c>
      <c r="C317" s="207" t="s">
        <v>297</v>
      </c>
      <c r="D317" s="28">
        <v>405579.58</v>
      </c>
      <c r="E317" s="28">
        <v>336460.46</v>
      </c>
      <c r="F317" s="30">
        <f t="shared" si="50"/>
        <v>742040.04</v>
      </c>
    </row>
    <row r="318" spans="1:6" x14ac:dyDescent="0.25">
      <c r="A318" s="253" t="s">
        <v>22</v>
      </c>
      <c r="B318" s="253"/>
      <c r="C318" s="253"/>
      <c r="D318" s="106">
        <f>SUM(D315:D317)</f>
        <v>405579.58</v>
      </c>
      <c r="E318" s="106">
        <f>SUM(E315:E317)</f>
        <v>765628.46</v>
      </c>
      <c r="F318" s="106">
        <f>SUM(F315:F317)</f>
        <v>1171208.04</v>
      </c>
    </row>
    <row r="319" spans="1:6" x14ac:dyDescent="0.25">
      <c r="A319" s="15">
        <v>3</v>
      </c>
      <c r="B319" s="254" t="s">
        <v>187</v>
      </c>
      <c r="C319" s="254"/>
      <c r="D319" s="254"/>
      <c r="E319" s="254"/>
      <c r="F319" s="254"/>
    </row>
    <row r="320" spans="1:6" x14ac:dyDescent="0.25">
      <c r="A320" s="206" t="s">
        <v>4</v>
      </c>
      <c r="B320" s="207" t="s">
        <v>74</v>
      </c>
      <c r="C320" s="207" t="s">
        <v>74</v>
      </c>
      <c r="D320" s="28">
        <v>24609.57</v>
      </c>
      <c r="E320" s="28">
        <f>256419.64+310011.71+294542.46+293054.66+298641.85+308473.73+288589.57+296732.04+291089.05+643400.61+331388.06+289054.3</f>
        <v>3901397.6799999992</v>
      </c>
      <c r="F320" s="30">
        <f>SUM(D320:E320)</f>
        <v>3926007.2499999991</v>
      </c>
    </row>
    <row r="321" spans="1:6" x14ac:dyDescent="0.25">
      <c r="A321" s="206" t="s">
        <v>5</v>
      </c>
      <c r="B321" s="207" t="s">
        <v>10</v>
      </c>
      <c r="C321" s="207" t="s">
        <v>11</v>
      </c>
      <c r="D321" s="28">
        <v>0</v>
      </c>
      <c r="E321" s="28">
        <f>82882.18+82882.18+82882.18+82882.18+64927.46+44892.62+45479.12+45609.26+91747.55</f>
        <v>624184.73</v>
      </c>
      <c r="F321" s="30">
        <f t="shared" ref="F321:F335" si="51">SUM(D321:E321)</f>
        <v>624184.73</v>
      </c>
    </row>
    <row r="322" spans="1:6" x14ac:dyDescent="0.25">
      <c r="A322" s="274" t="s">
        <v>6</v>
      </c>
      <c r="B322" s="272" t="s">
        <v>275</v>
      </c>
      <c r="C322" s="207" t="s">
        <v>317</v>
      </c>
      <c r="D322" s="28">
        <v>0</v>
      </c>
      <c r="E322" s="28">
        <f>67977+44820+46314+48555+47061+46314+196461+124002</f>
        <v>621504</v>
      </c>
      <c r="F322" s="30">
        <f t="shared" si="51"/>
        <v>621504</v>
      </c>
    </row>
    <row r="323" spans="1:6" x14ac:dyDescent="0.25">
      <c r="A323" s="275"/>
      <c r="B323" s="273"/>
      <c r="C323" s="207" t="s">
        <v>164</v>
      </c>
      <c r="D323" s="28">
        <f>1344+50112</f>
        <v>51456</v>
      </c>
      <c r="E323" s="28">
        <f>67392+57504</f>
        <v>124896</v>
      </c>
      <c r="F323" s="30">
        <f t="shared" si="51"/>
        <v>176352</v>
      </c>
    </row>
    <row r="324" spans="1:6" ht="25.5" x14ac:dyDescent="0.25">
      <c r="A324" s="206" t="s">
        <v>18</v>
      </c>
      <c r="B324" s="190" t="s">
        <v>332</v>
      </c>
      <c r="C324" s="207" t="s">
        <v>333</v>
      </c>
      <c r="D324" s="28">
        <v>0</v>
      </c>
      <c r="E324" s="28">
        <f>59907.52+29953.76+29953.76+29953.76+29953.76+29953.76</f>
        <v>209676.32</v>
      </c>
      <c r="F324" s="30">
        <f t="shared" si="51"/>
        <v>209676.32</v>
      </c>
    </row>
    <row r="325" spans="1:6" x14ac:dyDescent="0.25">
      <c r="A325" s="274" t="s">
        <v>23</v>
      </c>
      <c r="B325" s="272" t="s">
        <v>13</v>
      </c>
      <c r="C325" s="207" t="s">
        <v>324</v>
      </c>
      <c r="D325" s="28">
        <v>0</v>
      </c>
      <c r="E325" s="28">
        <f>514.84+848.22+552.82+673.09+565.48+664.65+808.13</f>
        <v>4627.2300000000005</v>
      </c>
      <c r="F325" s="30">
        <f t="shared" si="51"/>
        <v>4627.2300000000005</v>
      </c>
    </row>
    <row r="326" spans="1:6" x14ac:dyDescent="0.25">
      <c r="A326" s="279"/>
      <c r="B326" s="276"/>
      <c r="C326" s="207" t="s">
        <v>189</v>
      </c>
      <c r="D326" s="28">
        <v>0</v>
      </c>
      <c r="E326" s="28">
        <f>4016.2+2064.4</f>
        <v>6080.6</v>
      </c>
      <c r="F326" s="30">
        <f t="shared" si="51"/>
        <v>6080.6</v>
      </c>
    </row>
    <row r="327" spans="1:6" x14ac:dyDescent="0.25">
      <c r="A327" s="275"/>
      <c r="B327" s="273"/>
      <c r="C327" s="207" t="s">
        <v>318</v>
      </c>
      <c r="D327" s="28">
        <v>0</v>
      </c>
      <c r="E327" s="28">
        <f>5342.52+3084.82+1850.47+1823.04+871.43+1373.61+637.22+825.01</f>
        <v>15808.119999999999</v>
      </c>
      <c r="F327" s="30">
        <f t="shared" si="51"/>
        <v>15808.119999999999</v>
      </c>
    </row>
    <row r="328" spans="1:6" x14ac:dyDescent="0.25">
      <c r="A328" s="274" t="s">
        <v>24</v>
      </c>
      <c r="B328" s="280" t="s">
        <v>338</v>
      </c>
      <c r="C328" s="207" t="s">
        <v>346</v>
      </c>
      <c r="D328" s="28">
        <v>0</v>
      </c>
      <c r="E328" s="28">
        <f>12050+25625</f>
        <v>37675</v>
      </c>
      <c r="F328" s="30">
        <f t="shared" si="51"/>
        <v>37675</v>
      </c>
    </row>
    <row r="329" spans="1:6" x14ac:dyDescent="0.25">
      <c r="A329" s="275"/>
      <c r="B329" s="281"/>
      <c r="C329" s="207" t="s">
        <v>339</v>
      </c>
      <c r="D329" s="28">
        <v>0</v>
      </c>
      <c r="E329" s="28">
        <v>2080</v>
      </c>
      <c r="F329" s="30">
        <f t="shared" si="51"/>
        <v>2080</v>
      </c>
    </row>
    <row r="330" spans="1:6" x14ac:dyDescent="0.25">
      <c r="A330" s="206" t="s">
        <v>25</v>
      </c>
      <c r="B330" s="207" t="s">
        <v>112</v>
      </c>
      <c r="C330" s="207" t="s">
        <v>113</v>
      </c>
      <c r="D330" s="28">
        <v>0</v>
      </c>
      <c r="E330" s="28">
        <f>21792+683.21+44950.42+22475.21+22475.21+22475.21+48126.92</f>
        <v>182978.18</v>
      </c>
      <c r="F330" s="30">
        <f t="shared" si="51"/>
        <v>182978.18</v>
      </c>
    </row>
    <row r="331" spans="1:6" x14ac:dyDescent="0.25">
      <c r="A331" s="274" t="s">
        <v>41</v>
      </c>
      <c r="B331" s="272" t="s">
        <v>132</v>
      </c>
      <c r="C331" s="207" t="s">
        <v>326</v>
      </c>
      <c r="D331" s="28">
        <v>0</v>
      </c>
      <c r="E331" s="28">
        <f>14393.04+14393.04+14393.04+10075.12+33104+14393.04</f>
        <v>100751.28</v>
      </c>
      <c r="F331" s="30">
        <f t="shared" si="51"/>
        <v>100751.28</v>
      </c>
    </row>
    <row r="332" spans="1:6" x14ac:dyDescent="0.25">
      <c r="A332" s="279"/>
      <c r="B332" s="276"/>
      <c r="C332" s="207" t="s">
        <v>344</v>
      </c>
      <c r="D332" s="28">
        <v>0</v>
      </c>
      <c r="E332" s="28">
        <f>18430+14550</f>
        <v>32980</v>
      </c>
      <c r="F332" s="30">
        <f t="shared" si="51"/>
        <v>32980</v>
      </c>
    </row>
    <row r="333" spans="1:6" x14ac:dyDescent="0.25">
      <c r="A333" s="275"/>
      <c r="B333" s="273"/>
      <c r="C333" s="207" t="s">
        <v>327</v>
      </c>
      <c r="D333" s="28">
        <v>0</v>
      </c>
      <c r="E333" s="28">
        <f>8428.19+8428.19</f>
        <v>16856.38</v>
      </c>
      <c r="F333" s="30">
        <f t="shared" si="51"/>
        <v>16856.38</v>
      </c>
    </row>
    <row r="334" spans="1:6" x14ac:dyDescent="0.25">
      <c r="A334" s="206" t="s">
        <v>167</v>
      </c>
      <c r="B334" s="207" t="s">
        <v>256</v>
      </c>
      <c r="C334" s="207" t="s">
        <v>262</v>
      </c>
      <c r="D334" s="28">
        <f>73351.33+73351.33+4752.68+4752.68</f>
        <v>156208.01999999999</v>
      </c>
      <c r="E334" s="28">
        <f>73351.33+2299.69+73351.33+2299.69+151302.02+151302.03+151302.03+151302.03+302604.06+151302.03+151302.03+319140.57</f>
        <v>1680858.84</v>
      </c>
      <c r="F334" s="30">
        <f t="shared" si="51"/>
        <v>1837066.86</v>
      </c>
    </row>
    <row r="335" spans="1:6" x14ac:dyDescent="0.25">
      <c r="A335" s="206" t="s">
        <v>353</v>
      </c>
      <c r="B335" s="207" t="s">
        <v>7</v>
      </c>
      <c r="C335" s="207" t="s">
        <v>354</v>
      </c>
      <c r="D335" s="28">
        <v>0</v>
      </c>
      <c r="E335" s="28">
        <f>13569.68+14760+12997</f>
        <v>41326.68</v>
      </c>
      <c r="F335" s="30">
        <f t="shared" si="51"/>
        <v>41326.68</v>
      </c>
    </row>
    <row r="336" spans="1:6" x14ac:dyDescent="0.25">
      <c r="A336" s="253" t="s">
        <v>22</v>
      </c>
      <c r="B336" s="253"/>
      <c r="C336" s="253"/>
      <c r="D336" s="106">
        <f>SUM(D320:D335)</f>
        <v>232273.59</v>
      </c>
      <c r="E336" s="106">
        <f>SUM(E320:E335)</f>
        <v>7603681.0399999991</v>
      </c>
      <c r="F336" s="106">
        <f>SUM(F320:F335)</f>
        <v>7835954.629999999</v>
      </c>
    </row>
    <row r="337" spans="1:6" x14ac:dyDescent="0.25">
      <c r="A337" s="15">
        <v>4</v>
      </c>
      <c r="B337" s="254" t="s">
        <v>192</v>
      </c>
      <c r="C337" s="254"/>
      <c r="D337" s="254"/>
      <c r="E337" s="254"/>
      <c r="F337" s="254"/>
    </row>
    <row r="338" spans="1:6" x14ac:dyDescent="0.25">
      <c r="A338" s="253" t="s">
        <v>22</v>
      </c>
      <c r="B338" s="253"/>
      <c r="C338" s="253"/>
      <c r="D338" s="106">
        <v>0</v>
      </c>
      <c r="E338" s="106">
        <v>0</v>
      </c>
      <c r="F338" s="18">
        <v>0</v>
      </c>
    </row>
    <row r="339" spans="1:6" x14ac:dyDescent="0.25">
      <c r="A339" s="15">
        <v>5</v>
      </c>
      <c r="B339" s="267" t="s">
        <v>193</v>
      </c>
      <c r="C339" s="268"/>
      <c r="D339" s="268"/>
      <c r="E339" s="268"/>
      <c r="F339" s="269"/>
    </row>
    <row r="340" spans="1:6" x14ac:dyDescent="0.25">
      <c r="A340" s="206" t="s">
        <v>32</v>
      </c>
      <c r="B340" s="33" t="s">
        <v>3</v>
      </c>
      <c r="C340" s="207" t="s">
        <v>19</v>
      </c>
      <c r="D340" s="28">
        <f>14.86+83736.96</f>
        <v>83751.820000000007</v>
      </c>
      <c r="E340" s="28">
        <f>66887.32+70727.9+79231.58+79194.21+98774.86+88285.24+92386.71+166273.04+82962.07</f>
        <v>824722.92999999993</v>
      </c>
      <c r="F340" s="28">
        <f>SUM(D340:E340)</f>
        <v>908474.75</v>
      </c>
    </row>
    <row r="341" spans="1:6" x14ac:dyDescent="0.25">
      <c r="A341" s="253" t="s">
        <v>22</v>
      </c>
      <c r="B341" s="253"/>
      <c r="C341" s="253"/>
      <c r="D341" s="106">
        <f>D340</f>
        <v>83751.820000000007</v>
      </c>
      <c r="E341" s="106">
        <f>E340</f>
        <v>824722.92999999993</v>
      </c>
      <c r="F341" s="18">
        <f>SUM(D341:E341)</f>
        <v>908474.75</v>
      </c>
    </row>
    <row r="342" spans="1:6" x14ac:dyDescent="0.25">
      <c r="A342" s="255" t="s">
        <v>1</v>
      </c>
      <c r="B342" s="255"/>
      <c r="C342" s="255"/>
      <c r="D342" s="39">
        <f>D313+D318+D336+D338+D341</f>
        <v>1581926.9900000002</v>
      </c>
      <c r="E342" s="39">
        <f>E313+E318++E338+E341+E336</f>
        <v>9849933.5599999987</v>
      </c>
      <c r="F342" s="39">
        <f>F313+F318+F336+F338+F341</f>
        <v>11431860.549999999</v>
      </c>
    </row>
  </sheetData>
  <mergeCells count="190">
    <mergeCell ref="A336:C336"/>
    <mergeCell ref="B337:F337"/>
    <mergeCell ref="A338:C338"/>
    <mergeCell ref="B339:F339"/>
    <mergeCell ref="A341:C341"/>
    <mergeCell ref="A342:C342"/>
    <mergeCell ref="A303:F303"/>
    <mergeCell ref="B305:F305"/>
    <mergeCell ref="A306:A308"/>
    <mergeCell ref="B306:B308"/>
    <mergeCell ref="A311:A312"/>
    <mergeCell ref="B311:B312"/>
    <mergeCell ref="B314:F314"/>
    <mergeCell ref="A318:C318"/>
    <mergeCell ref="B319:F319"/>
    <mergeCell ref="A322:A323"/>
    <mergeCell ref="B322:B323"/>
    <mergeCell ref="A325:A327"/>
    <mergeCell ref="B325:B327"/>
    <mergeCell ref="A328:A329"/>
    <mergeCell ref="B328:B329"/>
    <mergeCell ref="A331:A333"/>
    <mergeCell ref="B331:B333"/>
    <mergeCell ref="A313:C313"/>
    <mergeCell ref="B223:F223"/>
    <mergeCell ref="A232:C232"/>
    <mergeCell ref="B233:F233"/>
    <mergeCell ref="A234:C234"/>
    <mergeCell ref="B235:F235"/>
    <mergeCell ref="A237:C237"/>
    <mergeCell ref="A238:C238"/>
    <mergeCell ref="A228:A229"/>
    <mergeCell ref="B228:B229"/>
    <mergeCell ref="A160:C160"/>
    <mergeCell ref="A161:C161"/>
    <mergeCell ref="B150:B151"/>
    <mergeCell ref="A150:A151"/>
    <mergeCell ref="A215:F215"/>
    <mergeCell ref="B217:F217"/>
    <mergeCell ref="A220:C220"/>
    <mergeCell ref="B221:F221"/>
    <mergeCell ref="A222:C222"/>
    <mergeCell ref="A164:F164"/>
    <mergeCell ref="B166:F166"/>
    <mergeCell ref="A168:C168"/>
    <mergeCell ref="B169:F169"/>
    <mergeCell ref="A170:C170"/>
    <mergeCell ref="B158:F158"/>
    <mergeCell ref="A187:C187"/>
    <mergeCell ref="A190:F190"/>
    <mergeCell ref="B192:F192"/>
    <mergeCell ref="A181:C181"/>
    <mergeCell ref="B182:F182"/>
    <mergeCell ref="A183:C183"/>
    <mergeCell ref="B184:F184"/>
    <mergeCell ref="A186:C186"/>
    <mergeCell ref="B171:F171"/>
    <mergeCell ref="A71:F71"/>
    <mergeCell ref="B73:F73"/>
    <mergeCell ref="A74:C74"/>
    <mergeCell ref="B75:F75"/>
    <mergeCell ref="A76:C76"/>
    <mergeCell ref="A88:C88"/>
    <mergeCell ref="A89:C89"/>
    <mergeCell ref="B77:F77"/>
    <mergeCell ref="A83:C83"/>
    <mergeCell ref="B84:F84"/>
    <mergeCell ref="A85:C85"/>
    <mergeCell ref="B86:F86"/>
    <mergeCell ref="B31:F31"/>
    <mergeCell ref="A33:C33"/>
    <mergeCell ref="A44:C44"/>
    <mergeCell ref="A45:C45"/>
    <mergeCell ref="B34:F34"/>
    <mergeCell ref="A39:C39"/>
    <mergeCell ref="B40:F40"/>
    <mergeCell ref="A41:C41"/>
    <mergeCell ref="B42:F42"/>
    <mergeCell ref="A1:F1"/>
    <mergeCell ref="B3:F3"/>
    <mergeCell ref="B8:F8"/>
    <mergeCell ref="A2:F2"/>
    <mergeCell ref="A4:F4"/>
    <mergeCell ref="A6:F6"/>
    <mergeCell ref="A26:F26"/>
    <mergeCell ref="B28:F28"/>
    <mergeCell ref="A30:C30"/>
    <mergeCell ref="A23:C23"/>
    <mergeCell ref="A10:C10"/>
    <mergeCell ref="B11:F11"/>
    <mergeCell ref="B18:F18"/>
    <mergeCell ref="A19:C19"/>
    <mergeCell ref="B20:F20"/>
    <mergeCell ref="A22:C22"/>
    <mergeCell ref="A13:C13"/>
    <mergeCell ref="B14:F14"/>
    <mergeCell ref="A17:C17"/>
    <mergeCell ref="A67:C67"/>
    <mergeCell ref="A68:C68"/>
    <mergeCell ref="B56:F56"/>
    <mergeCell ref="A62:C62"/>
    <mergeCell ref="B63:F63"/>
    <mergeCell ref="A64:C64"/>
    <mergeCell ref="B65:F65"/>
    <mergeCell ref="A48:F48"/>
    <mergeCell ref="B50:F50"/>
    <mergeCell ref="A52:C52"/>
    <mergeCell ref="B53:F53"/>
    <mergeCell ref="A55:C55"/>
    <mergeCell ref="B99:F99"/>
    <mergeCell ref="A102:C102"/>
    <mergeCell ref="B103:F103"/>
    <mergeCell ref="A104:C104"/>
    <mergeCell ref="B105:F105"/>
    <mergeCell ref="A92:F92"/>
    <mergeCell ref="B94:F94"/>
    <mergeCell ref="A96:C96"/>
    <mergeCell ref="B97:F97"/>
    <mergeCell ref="A98:C98"/>
    <mergeCell ref="A115:C115"/>
    <mergeCell ref="B116:F116"/>
    <mergeCell ref="A117:C117"/>
    <mergeCell ref="B118:F118"/>
    <mergeCell ref="A130:C130"/>
    <mergeCell ref="A107:C107"/>
    <mergeCell ref="A108:C108"/>
    <mergeCell ref="A111:F111"/>
    <mergeCell ref="B113:F113"/>
    <mergeCell ref="A133:C133"/>
    <mergeCell ref="A134:C134"/>
    <mergeCell ref="A125:A126"/>
    <mergeCell ref="B125:B126"/>
    <mergeCell ref="A128:C128"/>
    <mergeCell ref="B129:F129"/>
    <mergeCell ref="B131:F131"/>
    <mergeCell ref="A137:F137"/>
    <mergeCell ref="B139:F139"/>
    <mergeCell ref="A142:C142"/>
    <mergeCell ref="B143:F143"/>
    <mergeCell ref="A144:C144"/>
    <mergeCell ref="B145:F145"/>
    <mergeCell ref="A152:A153"/>
    <mergeCell ref="B152:B153"/>
    <mergeCell ref="A155:C155"/>
    <mergeCell ref="B156:F156"/>
    <mergeCell ref="A157:C157"/>
    <mergeCell ref="A176:A177"/>
    <mergeCell ref="B176:B177"/>
    <mergeCell ref="A212:C212"/>
    <mergeCell ref="A206:C206"/>
    <mergeCell ref="B207:F207"/>
    <mergeCell ref="A208:C208"/>
    <mergeCell ref="B209:F209"/>
    <mergeCell ref="A211:C211"/>
    <mergeCell ref="A194:C194"/>
    <mergeCell ref="B195:F195"/>
    <mergeCell ref="A196:C196"/>
    <mergeCell ref="B197:F197"/>
    <mergeCell ref="A241:F241"/>
    <mergeCell ref="B243:F243"/>
    <mergeCell ref="A247:C247"/>
    <mergeCell ref="B248:F248"/>
    <mergeCell ref="A249:C249"/>
    <mergeCell ref="B250:F250"/>
    <mergeCell ref="A255:A256"/>
    <mergeCell ref="B255:B256"/>
    <mergeCell ref="A261:C261"/>
    <mergeCell ref="B262:F262"/>
    <mergeCell ref="A263:C263"/>
    <mergeCell ref="B264:F264"/>
    <mergeCell ref="A266:C266"/>
    <mergeCell ref="A267:C267"/>
    <mergeCell ref="A259:A260"/>
    <mergeCell ref="B259:B260"/>
    <mergeCell ref="A270:F270"/>
    <mergeCell ref="B272:F272"/>
    <mergeCell ref="B295:F295"/>
    <mergeCell ref="A296:C296"/>
    <mergeCell ref="B297:F297"/>
    <mergeCell ref="A299:C299"/>
    <mergeCell ref="A300:C300"/>
    <mergeCell ref="A276:C276"/>
    <mergeCell ref="B277:F277"/>
    <mergeCell ref="A280:C280"/>
    <mergeCell ref="B281:F281"/>
    <mergeCell ref="A286:A287"/>
    <mergeCell ref="B286:B287"/>
    <mergeCell ref="A290:A291"/>
    <mergeCell ref="B290:B291"/>
    <mergeCell ref="A294:C29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'2013'!Area_de_impressao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tamaram</dc:creator>
  <cp:lastModifiedBy>Ariane Fernandes Soares - RF: 46.998 - SETRAN</cp:lastModifiedBy>
  <cp:lastPrinted>2024-06-17T14:51:26Z</cp:lastPrinted>
  <dcterms:created xsi:type="dcterms:W3CDTF">2017-02-09T13:59:08Z</dcterms:created>
  <dcterms:modified xsi:type="dcterms:W3CDTF">2024-12-12T17:51:46Z</dcterms:modified>
</cp:coreProperties>
</file>